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BLOQUE 1 VALLS SALKI" sheetId="1" r:id="rId1"/>
    <sheet name="BLOQUE 2 VALLS VARIADO" sheetId="2" r:id="rId2"/>
    <sheet name="BLOQUE ORCOYEN" sheetId="4" r:id="rId3"/>
  </sheets>
  <definedNames>
    <definedName name="_xlnm._FilterDatabase" localSheetId="0" hidden="1">'BLOQUE 1 VALLS SALKI'!$A$1:$E$106</definedName>
    <definedName name="_xlnm._FilterDatabase" localSheetId="1" hidden="1">'BLOQUE 2 VALLS VARIADO'!$A$5:$F$7</definedName>
    <definedName name="_xlnm.Print_Area" localSheetId="1">'BLOQUE 2 VALLS VARIADO'!$A$1:$I$97</definedName>
    <definedName name="_xlnm.Print_Area" localSheetId="2">'BLOQUE ORCOYEN'!$A$1:$H$2096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6" i="4" l="1"/>
  <c r="B97" i="2"/>
  <c r="C107" i="1"/>
  <c r="D97" i="2"/>
  <c r="E107" i="1"/>
  <c r="D2095" i="4"/>
  <c r="A2095" i="4"/>
  <c r="D2094" i="4"/>
  <c r="A2094" i="4"/>
  <c r="D2093" i="4"/>
  <c r="A2093" i="4"/>
  <c r="D2092" i="4"/>
  <c r="A2092" i="4"/>
  <c r="D2091" i="4"/>
  <c r="A2091" i="4"/>
  <c r="D2090" i="4"/>
  <c r="A2090" i="4"/>
  <c r="D2089" i="4"/>
  <c r="A2089" i="4"/>
  <c r="D2088" i="4"/>
  <c r="A2088" i="4"/>
  <c r="D2087" i="4"/>
  <c r="A2087" i="4"/>
  <c r="D2086" i="4"/>
  <c r="A2086" i="4"/>
  <c r="D2085" i="4"/>
  <c r="A2085" i="4"/>
  <c r="D2084" i="4"/>
  <c r="A2084" i="4"/>
  <c r="D2083" i="4"/>
  <c r="A2083" i="4"/>
  <c r="D2082" i="4"/>
  <c r="A2082" i="4"/>
  <c r="D2081" i="4"/>
  <c r="A2081" i="4"/>
  <c r="D2080" i="4"/>
  <c r="A2080" i="4"/>
  <c r="D2079" i="4"/>
  <c r="A2079" i="4"/>
  <c r="D2078" i="4"/>
  <c r="A2078" i="4"/>
  <c r="D2077" i="4"/>
  <c r="A2077" i="4"/>
  <c r="D2076" i="4"/>
  <c r="A2076" i="4"/>
  <c r="D2075" i="4"/>
  <c r="A2075" i="4"/>
  <c r="D2074" i="4"/>
  <c r="A2074" i="4"/>
  <c r="D2073" i="4"/>
  <c r="A2073" i="4"/>
  <c r="D2072" i="4"/>
  <c r="A2072" i="4"/>
  <c r="D2071" i="4"/>
  <c r="A2071" i="4"/>
  <c r="D2070" i="4"/>
  <c r="A2070" i="4"/>
  <c r="D2069" i="4"/>
  <c r="A2069" i="4"/>
  <c r="D2068" i="4"/>
  <c r="A2068" i="4"/>
  <c r="D2067" i="4"/>
  <c r="A2067" i="4"/>
  <c r="D2066" i="4"/>
  <c r="A2066" i="4"/>
  <c r="D2065" i="4"/>
  <c r="A2065" i="4"/>
  <c r="D2064" i="4"/>
  <c r="A2064" i="4"/>
  <c r="D2063" i="4"/>
  <c r="A2063" i="4"/>
  <c r="D2062" i="4"/>
  <c r="A2062" i="4"/>
  <c r="D2061" i="4"/>
  <c r="A2061" i="4"/>
  <c r="D2060" i="4"/>
  <c r="A2060" i="4"/>
  <c r="D2059" i="4"/>
  <c r="A2059" i="4"/>
  <c r="D2058" i="4"/>
  <c r="A2058" i="4"/>
  <c r="D2057" i="4"/>
  <c r="A2057" i="4"/>
  <c r="D2056" i="4"/>
  <c r="A2056" i="4"/>
  <c r="D2055" i="4"/>
  <c r="A2055" i="4"/>
  <c r="D2054" i="4"/>
  <c r="A2054" i="4"/>
  <c r="D2053" i="4"/>
  <c r="A2053" i="4"/>
  <c r="D2052" i="4"/>
  <c r="A2052" i="4"/>
  <c r="D2051" i="4"/>
  <c r="A2051" i="4"/>
  <c r="D2050" i="4"/>
  <c r="A2050" i="4"/>
  <c r="D2049" i="4"/>
  <c r="A2049" i="4"/>
  <c r="D2048" i="4"/>
  <c r="A2048" i="4"/>
  <c r="D2047" i="4"/>
  <c r="A2047" i="4"/>
  <c r="D2046" i="4"/>
  <c r="A2046" i="4"/>
  <c r="D2045" i="4"/>
  <c r="A2045" i="4"/>
  <c r="D2044" i="4"/>
  <c r="A2044" i="4"/>
  <c r="D2043" i="4"/>
  <c r="A2043" i="4"/>
  <c r="D2042" i="4"/>
  <c r="A2042" i="4"/>
  <c r="D2041" i="4"/>
  <c r="A2041" i="4"/>
  <c r="D2040" i="4"/>
  <c r="A2040" i="4"/>
  <c r="D2039" i="4"/>
  <c r="A2039" i="4"/>
  <c r="D2038" i="4"/>
  <c r="A2038" i="4"/>
  <c r="D2037" i="4"/>
  <c r="A2037" i="4"/>
  <c r="D2036" i="4"/>
  <c r="A2036" i="4"/>
  <c r="D2035" i="4"/>
  <c r="A2035" i="4"/>
  <c r="D2034" i="4"/>
  <c r="A2034" i="4"/>
  <c r="D2033" i="4"/>
  <c r="A2033" i="4"/>
  <c r="D2032" i="4"/>
  <c r="A2032" i="4"/>
  <c r="D2031" i="4"/>
  <c r="A2031" i="4"/>
  <c r="D2030" i="4"/>
  <c r="A2030" i="4"/>
  <c r="D2029" i="4"/>
  <c r="A2029" i="4"/>
  <c r="D2028" i="4"/>
  <c r="A2028" i="4"/>
  <c r="D2027" i="4"/>
  <c r="A2027" i="4"/>
  <c r="D2026" i="4"/>
  <c r="A2026" i="4"/>
  <c r="D2025" i="4"/>
  <c r="A2025" i="4"/>
  <c r="D2024" i="4"/>
  <c r="A2024" i="4"/>
  <c r="D2023" i="4"/>
  <c r="A2023" i="4"/>
  <c r="D2022" i="4"/>
  <c r="A2022" i="4"/>
  <c r="D2021" i="4"/>
  <c r="A2021" i="4"/>
  <c r="D2020" i="4"/>
  <c r="A2020" i="4"/>
  <c r="D2019" i="4"/>
  <c r="A2019" i="4"/>
  <c r="D2018" i="4"/>
  <c r="A2018" i="4"/>
  <c r="D2017" i="4"/>
  <c r="A2017" i="4"/>
  <c r="D2016" i="4"/>
  <c r="A2016" i="4"/>
  <c r="D2015" i="4"/>
  <c r="A2015" i="4"/>
  <c r="D2014" i="4"/>
  <c r="A2014" i="4"/>
  <c r="D2013" i="4"/>
  <c r="A2013" i="4"/>
  <c r="D2012" i="4"/>
  <c r="A2012" i="4"/>
  <c r="D2011" i="4"/>
  <c r="A2011" i="4"/>
  <c r="D2010" i="4"/>
  <c r="A2010" i="4"/>
  <c r="D2009" i="4"/>
  <c r="A2009" i="4"/>
  <c r="D2008" i="4"/>
  <c r="A2008" i="4"/>
  <c r="D2007" i="4"/>
  <c r="A2007" i="4"/>
  <c r="D2006" i="4"/>
  <c r="A2006" i="4"/>
  <c r="D2005" i="4"/>
  <c r="A2005" i="4"/>
  <c r="D2004" i="4"/>
  <c r="A2004" i="4"/>
  <c r="D2003" i="4"/>
  <c r="A2003" i="4"/>
  <c r="D2002" i="4"/>
  <c r="A2002" i="4"/>
  <c r="D2001" i="4"/>
  <c r="A2001" i="4"/>
  <c r="D2000" i="4"/>
  <c r="A2000" i="4"/>
  <c r="D1999" i="4"/>
  <c r="A1999" i="4"/>
  <c r="D1998" i="4"/>
  <c r="A1998" i="4"/>
  <c r="D1997" i="4"/>
  <c r="A1997" i="4"/>
  <c r="D1996" i="4"/>
  <c r="A1996" i="4"/>
  <c r="D1995" i="4"/>
  <c r="A1995" i="4"/>
  <c r="D1994" i="4"/>
  <c r="A1994" i="4"/>
  <c r="D1993" i="4"/>
  <c r="A1993" i="4"/>
  <c r="D1992" i="4"/>
  <c r="A1992" i="4"/>
  <c r="D1991" i="4"/>
  <c r="A1991" i="4"/>
  <c r="D1990" i="4"/>
  <c r="A1990" i="4"/>
  <c r="D1989" i="4"/>
  <c r="A1989" i="4"/>
  <c r="D1988" i="4"/>
  <c r="A1988" i="4"/>
  <c r="D1987" i="4"/>
  <c r="A1987" i="4"/>
  <c r="D1986" i="4"/>
  <c r="A1986" i="4"/>
  <c r="D1985" i="4"/>
  <c r="A1985" i="4"/>
  <c r="D1984" i="4"/>
  <c r="A1984" i="4"/>
  <c r="D1983" i="4"/>
  <c r="A1983" i="4"/>
  <c r="D1982" i="4"/>
  <c r="A1982" i="4"/>
  <c r="D1981" i="4"/>
  <c r="A1981" i="4"/>
  <c r="D1980" i="4"/>
  <c r="A1980" i="4"/>
  <c r="D1979" i="4"/>
  <c r="A1979" i="4"/>
  <c r="D1978" i="4"/>
  <c r="A1978" i="4"/>
  <c r="D1977" i="4"/>
  <c r="A1977" i="4"/>
  <c r="D1976" i="4"/>
  <c r="A1976" i="4"/>
  <c r="D1975" i="4"/>
  <c r="A1975" i="4"/>
  <c r="D1974" i="4"/>
  <c r="A1974" i="4"/>
  <c r="D1973" i="4"/>
  <c r="A1973" i="4"/>
  <c r="D1972" i="4"/>
  <c r="A1972" i="4"/>
  <c r="D1971" i="4"/>
  <c r="A1971" i="4"/>
  <c r="D1970" i="4"/>
  <c r="A1970" i="4"/>
  <c r="D1969" i="4"/>
  <c r="A1969" i="4"/>
  <c r="D1968" i="4"/>
  <c r="A1968" i="4"/>
  <c r="D1967" i="4"/>
  <c r="A1967" i="4"/>
  <c r="D1966" i="4"/>
  <c r="A1966" i="4"/>
  <c r="D1965" i="4"/>
  <c r="A1965" i="4"/>
  <c r="D1964" i="4"/>
  <c r="A1964" i="4"/>
  <c r="D1963" i="4"/>
  <c r="A1963" i="4"/>
  <c r="D1962" i="4"/>
  <c r="A1962" i="4"/>
  <c r="D1961" i="4"/>
  <c r="A1961" i="4"/>
  <c r="D1960" i="4"/>
  <c r="A1960" i="4"/>
  <c r="D1959" i="4"/>
  <c r="A1959" i="4"/>
  <c r="D1958" i="4"/>
  <c r="A1958" i="4"/>
  <c r="D1957" i="4"/>
  <c r="A1957" i="4"/>
  <c r="D1956" i="4"/>
  <c r="A1956" i="4"/>
  <c r="D1955" i="4"/>
  <c r="A1955" i="4"/>
  <c r="D1954" i="4"/>
  <c r="A1954" i="4"/>
  <c r="D1953" i="4"/>
  <c r="A1953" i="4"/>
  <c r="D1952" i="4"/>
  <c r="A1952" i="4"/>
  <c r="D1951" i="4"/>
  <c r="A1951" i="4"/>
  <c r="D1950" i="4"/>
  <c r="A1950" i="4"/>
  <c r="D1949" i="4"/>
  <c r="A1949" i="4"/>
  <c r="D1948" i="4"/>
  <c r="A1948" i="4"/>
  <c r="D1947" i="4"/>
  <c r="A1947" i="4"/>
  <c r="D1946" i="4"/>
  <c r="A1946" i="4"/>
  <c r="D1945" i="4"/>
  <c r="A1945" i="4"/>
  <c r="D1944" i="4"/>
  <c r="A1944" i="4"/>
  <c r="D1943" i="4"/>
  <c r="A1943" i="4"/>
  <c r="D1942" i="4"/>
  <c r="A1942" i="4"/>
  <c r="D1941" i="4"/>
  <c r="A1941" i="4"/>
  <c r="D1940" i="4"/>
  <c r="A1940" i="4"/>
  <c r="D1939" i="4"/>
  <c r="A1939" i="4"/>
  <c r="D1938" i="4"/>
  <c r="A1938" i="4"/>
  <c r="D1937" i="4"/>
  <c r="A1937" i="4"/>
  <c r="D1936" i="4"/>
  <c r="A1936" i="4"/>
  <c r="D1935" i="4"/>
  <c r="A1935" i="4"/>
  <c r="D1934" i="4"/>
  <c r="A1934" i="4"/>
  <c r="D1933" i="4"/>
  <c r="A1933" i="4"/>
  <c r="D1932" i="4"/>
  <c r="A1932" i="4"/>
  <c r="D1931" i="4"/>
  <c r="A1931" i="4"/>
  <c r="D1930" i="4"/>
  <c r="A1930" i="4"/>
  <c r="D1929" i="4"/>
  <c r="A1929" i="4"/>
  <c r="D1928" i="4"/>
  <c r="A1928" i="4"/>
  <c r="D1927" i="4"/>
  <c r="A1927" i="4"/>
  <c r="D1926" i="4"/>
  <c r="A1926" i="4"/>
  <c r="D1925" i="4"/>
  <c r="A1925" i="4"/>
  <c r="D1924" i="4"/>
  <c r="A1924" i="4"/>
  <c r="D1923" i="4"/>
  <c r="A1923" i="4"/>
  <c r="D1922" i="4"/>
  <c r="A1922" i="4"/>
  <c r="D1921" i="4"/>
  <c r="A1921" i="4"/>
  <c r="D1920" i="4"/>
  <c r="A1920" i="4"/>
  <c r="D1919" i="4"/>
  <c r="A1919" i="4"/>
  <c r="D1918" i="4"/>
  <c r="A1918" i="4"/>
  <c r="D1917" i="4"/>
  <c r="A1917" i="4"/>
  <c r="D1916" i="4"/>
  <c r="A1916" i="4"/>
  <c r="D1915" i="4"/>
  <c r="A1915" i="4"/>
  <c r="D1914" i="4"/>
  <c r="A1914" i="4"/>
  <c r="D1913" i="4"/>
  <c r="A1913" i="4"/>
  <c r="D1912" i="4"/>
  <c r="A1912" i="4"/>
  <c r="D1911" i="4"/>
  <c r="A1911" i="4"/>
  <c r="D1910" i="4"/>
  <c r="A1910" i="4"/>
  <c r="D1909" i="4"/>
  <c r="A1909" i="4"/>
  <c r="D1908" i="4"/>
  <c r="A1908" i="4"/>
  <c r="D1907" i="4"/>
  <c r="A1907" i="4"/>
  <c r="D1906" i="4"/>
  <c r="A1906" i="4"/>
  <c r="D1905" i="4"/>
  <c r="A1905" i="4"/>
  <c r="D1904" i="4"/>
  <c r="A1904" i="4"/>
  <c r="D1903" i="4"/>
  <c r="A1903" i="4"/>
  <c r="D1902" i="4"/>
  <c r="A1902" i="4"/>
  <c r="D1901" i="4"/>
  <c r="A1901" i="4"/>
  <c r="D1900" i="4"/>
  <c r="A1900" i="4"/>
  <c r="D1899" i="4"/>
  <c r="A1899" i="4"/>
  <c r="D1898" i="4"/>
  <c r="A1898" i="4"/>
  <c r="D1897" i="4"/>
  <c r="A1897" i="4"/>
  <c r="D1896" i="4"/>
  <c r="A1896" i="4"/>
  <c r="D1895" i="4"/>
  <c r="A1895" i="4"/>
  <c r="D1894" i="4"/>
  <c r="A1894" i="4"/>
  <c r="D1893" i="4"/>
  <c r="A1893" i="4"/>
  <c r="D1892" i="4"/>
  <c r="A1892" i="4"/>
  <c r="D1891" i="4"/>
  <c r="A1891" i="4"/>
  <c r="D1890" i="4"/>
  <c r="A1890" i="4"/>
  <c r="D1889" i="4"/>
  <c r="A1889" i="4"/>
  <c r="D1888" i="4"/>
  <c r="A1888" i="4"/>
  <c r="D1887" i="4"/>
  <c r="A1887" i="4"/>
  <c r="D1886" i="4"/>
  <c r="A1886" i="4"/>
  <c r="D1885" i="4"/>
  <c r="A1885" i="4"/>
  <c r="D1884" i="4"/>
  <c r="A1884" i="4"/>
  <c r="D1883" i="4"/>
  <c r="A1883" i="4"/>
  <c r="D1882" i="4"/>
  <c r="A1882" i="4"/>
  <c r="D1881" i="4"/>
  <c r="A1881" i="4"/>
  <c r="D1880" i="4"/>
  <c r="A1880" i="4"/>
  <c r="D1879" i="4"/>
  <c r="A1879" i="4"/>
  <c r="D1878" i="4"/>
  <c r="A1878" i="4"/>
  <c r="D1877" i="4"/>
  <c r="A1877" i="4"/>
  <c r="D1876" i="4"/>
  <c r="A1876" i="4"/>
  <c r="D1875" i="4"/>
  <c r="A1875" i="4"/>
  <c r="D1874" i="4"/>
  <c r="A1874" i="4"/>
  <c r="D1873" i="4"/>
  <c r="A1873" i="4"/>
  <c r="D1872" i="4"/>
  <c r="A1872" i="4"/>
  <c r="D1871" i="4"/>
  <c r="A1871" i="4"/>
  <c r="D1870" i="4"/>
  <c r="A1870" i="4"/>
  <c r="D1869" i="4"/>
  <c r="A1869" i="4"/>
  <c r="D1868" i="4"/>
  <c r="A1868" i="4"/>
  <c r="D1867" i="4"/>
  <c r="A1867" i="4"/>
  <c r="D1866" i="4"/>
  <c r="A1866" i="4"/>
  <c r="D1865" i="4"/>
  <c r="A1865" i="4"/>
  <c r="D1864" i="4"/>
  <c r="A1864" i="4"/>
  <c r="D1863" i="4"/>
  <c r="A1863" i="4"/>
  <c r="D1862" i="4"/>
  <c r="A1862" i="4"/>
  <c r="D1861" i="4"/>
  <c r="A1861" i="4"/>
  <c r="D1860" i="4"/>
  <c r="A1860" i="4"/>
  <c r="D1859" i="4"/>
  <c r="A1859" i="4"/>
  <c r="D1858" i="4"/>
  <c r="A1858" i="4"/>
  <c r="D1857" i="4"/>
  <c r="A1857" i="4"/>
  <c r="D1856" i="4"/>
  <c r="A1856" i="4"/>
  <c r="D1855" i="4"/>
  <c r="A1855" i="4"/>
  <c r="D1854" i="4"/>
  <c r="A1854" i="4"/>
  <c r="D1853" i="4"/>
  <c r="A1853" i="4"/>
  <c r="D1852" i="4"/>
  <c r="A1852" i="4"/>
  <c r="D1851" i="4"/>
  <c r="A1851" i="4"/>
  <c r="D1850" i="4"/>
  <c r="A1850" i="4"/>
  <c r="D1849" i="4"/>
  <c r="A1849" i="4"/>
  <c r="D1848" i="4"/>
  <c r="A1848" i="4"/>
  <c r="D1847" i="4"/>
  <c r="A1847" i="4"/>
  <c r="D1846" i="4"/>
  <c r="A1846" i="4"/>
  <c r="D1845" i="4"/>
  <c r="A1845" i="4"/>
  <c r="D1844" i="4"/>
  <c r="A1844" i="4"/>
  <c r="D1843" i="4"/>
  <c r="A1843" i="4"/>
  <c r="D1842" i="4"/>
  <c r="A1842" i="4"/>
  <c r="D1841" i="4"/>
  <c r="A1841" i="4"/>
  <c r="D1840" i="4"/>
  <c r="A1840" i="4"/>
  <c r="D1839" i="4"/>
  <c r="A1839" i="4"/>
  <c r="D1838" i="4"/>
  <c r="A1838" i="4"/>
  <c r="D1837" i="4"/>
  <c r="A1837" i="4"/>
  <c r="D1836" i="4"/>
  <c r="A1836" i="4"/>
  <c r="D1835" i="4"/>
  <c r="A1835" i="4"/>
  <c r="D1834" i="4"/>
  <c r="A1834" i="4"/>
  <c r="D1833" i="4"/>
  <c r="A1833" i="4"/>
  <c r="D1832" i="4"/>
  <c r="A1832" i="4"/>
  <c r="D1831" i="4"/>
  <c r="A1831" i="4"/>
  <c r="D1830" i="4"/>
  <c r="A1830" i="4"/>
  <c r="D1829" i="4"/>
  <c r="A1829" i="4"/>
  <c r="D1828" i="4"/>
  <c r="A1828" i="4"/>
  <c r="D1827" i="4"/>
  <c r="A1827" i="4"/>
  <c r="D1826" i="4"/>
  <c r="A1826" i="4"/>
  <c r="D1825" i="4"/>
  <c r="A1825" i="4"/>
  <c r="D1824" i="4"/>
  <c r="A1824" i="4"/>
  <c r="D1823" i="4"/>
  <c r="A1823" i="4"/>
  <c r="D1822" i="4"/>
  <c r="A1822" i="4"/>
  <c r="D1821" i="4"/>
  <c r="A1821" i="4"/>
  <c r="D1820" i="4"/>
  <c r="A1820" i="4"/>
  <c r="D1819" i="4"/>
  <c r="A1819" i="4"/>
  <c r="D1818" i="4"/>
  <c r="A1818" i="4"/>
  <c r="D1817" i="4"/>
  <c r="A1817" i="4"/>
  <c r="D1816" i="4"/>
  <c r="A1816" i="4"/>
  <c r="D1815" i="4"/>
  <c r="A1815" i="4"/>
  <c r="D1814" i="4"/>
  <c r="A1814" i="4"/>
  <c r="D1813" i="4"/>
  <c r="A1813" i="4"/>
  <c r="D1812" i="4"/>
  <c r="A1812" i="4"/>
  <c r="D1811" i="4"/>
  <c r="A1811" i="4"/>
  <c r="D1810" i="4"/>
  <c r="A1810" i="4"/>
  <c r="D1809" i="4"/>
  <c r="A1809" i="4"/>
  <c r="D1808" i="4"/>
  <c r="A1808" i="4"/>
  <c r="D1807" i="4"/>
  <c r="A1807" i="4"/>
  <c r="D1806" i="4"/>
  <c r="A1806" i="4"/>
  <c r="D1805" i="4"/>
  <c r="A1805" i="4"/>
  <c r="D1804" i="4"/>
  <c r="A1804" i="4"/>
  <c r="D1803" i="4"/>
  <c r="A1803" i="4"/>
  <c r="D1802" i="4"/>
  <c r="A1802" i="4"/>
  <c r="D1801" i="4"/>
  <c r="A1801" i="4"/>
  <c r="D1800" i="4"/>
  <c r="A1800" i="4"/>
  <c r="D1799" i="4"/>
  <c r="A1799" i="4"/>
  <c r="D1798" i="4"/>
  <c r="A1798" i="4"/>
  <c r="D1797" i="4"/>
  <c r="A1797" i="4"/>
  <c r="D1796" i="4"/>
  <c r="A1796" i="4"/>
  <c r="D1795" i="4"/>
  <c r="A1795" i="4"/>
  <c r="D1794" i="4"/>
  <c r="A1794" i="4"/>
  <c r="D1793" i="4"/>
  <c r="A1793" i="4"/>
  <c r="D1792" i="4"/>
  <c r="A1792" i="4"/>
  <c r="D1791" i="4"/>
  <c r="A1791" i="4"/>
  <c r="D1790" i="4"/>
  <c r="A1790" i="4"/>
  <c r="D1789" i="4"/>
  <c r="A1789" i="4"/>
  <c r="D1788" i="4"/>
  <c r="A1788" i="4"/>
  <c r="D1787" i="4"/>
  <c r="A1787" i="4"/>
  <c r="D1786" i="4"/>
  <c r="A1786" i="4"/>
  <c r="D1785" i="4"/>
  <c r="A1785" i="4"/>
  <c r="D1784" i="4"/>
  <c r="A1784" i="4"/>
  <c r="D1783" i="4"/>
  <c r="A1783" i="4"/>
  <c r="D1782" i="4"/>
  <c r="A1782" i="4"/>
  <c r="D1781" i="4"/>
  <c r="A1781" i="4"/>
  <c r="D1780" i="4"/>
  <c r="A1780" i="4"/>
  <c r="D1779" i="4"/>
  <c r="A1779" i="4"/>
  <c r="D1778" i="4"/>
  <c r="A1778" i="4"/>
  <c r="D1777" i="4"/>
  <c r="A1777" i="4"/>
  <c r="D1776" i="4"/>
  <c r="A1776" i="4"/>
  <c r="D1775" i="4"/>
  <c r="A1775" i="4"/>
  <c r="D1774" i="4"/>
  <c r="A1774" i="4"/>
  <c r="D1773" i="4"/>
  <c r="A1773" i="4"/>
  <c r="D1772" i="4"/>
  <c r="A1772" i="4"/>
  <c r="D1771" i="4"/>
  <c r="A1771" i="4"/>
  <c r="D1770" i="4"/>
  <c r="A1770" i="4"/>
  <c r="D1769" i="4"/>
  <c r="A1769" i="4"/>
  <c r="D1768" i="4"/>
  <c r="A1768" i="4"/>
  <c r="D1767" i="4"/>
  <c r="A1767" i="4"/>
  <c r="D1766" i="4"/>
  <c r="A1766" i="4"/>
  <c r="D1765" i="4"/>
  <c r="A1765" i="4"/>
  <c r="D1764" i="4"/>
  <c r="A1764" i="4"/>
  <c r="D1763" i="4"/>
  <c r="A1763" i="4"/>
  <c r="D1762" i="4"/>
  <c r="A1762" i="4"/>
  <c r="D1761" i="4"/>
  <c r="A1761" i="4"/>
  <c r="D1760" i="4"/>
  <c r="A1760" i="4"/>
  <c r="D1759" i="4"/>
  <c r="A1759" i="4"/>
  <c r="D1758" i="4"/>
  <c r="A1758" i="4"/>
  <c r="D1757" i="4"/>
  <c r="A1757" i="4"/>
  <c r="D1756" i="4"/>
  <c r="A1756" i="4"/>
  <c r="D1755" i="4"/>
  <c r="A1755" i="4"/>
  <c r="D1754" i="4"/>
  <c r="A1754" i="4"/>
  <c r="D1753" i="4"/>
  <c r="A1753" i="4"/>
  <c r="D1752" i="4"/>
  <c r="A1752" i="4"/>
  <c r="D1751" i="4"/>
  <c r="A1751" i="4"/>
  <c r="D1750" i="4"/>
  <c r="A1750" i="4"/>
  <c r="D1749" i="4"/>
  <c r="A1749" i="4"/>
  <c r="D1748" i="4"/>
  <c r="A1748" i="4"/>
  <c r="D1747" i="4"/>
  <c r="A1747" i="4"/>
  <c r="D1746" i="4"/>
  <c r="A1746" i="4"/>
  <c r="D1745" i="4"/>
  <c r="A1745" i="4"/>
  <c r="D1744" i="4"/>
  <c r="A1744" i="4"/>
  <c r="D1743" i="4"/>
  <c r="A1743" i="4"/>
  <c r="D1742" i="4"/>
  <c r="A1742" i="4"/>
  <c r="D1741" i="4"/>
  <c r="A1741" i="4"/>
  <c r="D1740" i="4"/>
  <c r="A1740" i="4"/>
  <c r="D1739" i="4"/>
  <c r="A1739" i="4"/>
  <c r="D1738" i="4"/>
  <c r="A1738" i="4"/>
  <c r="D1737" i="4"/>
  <c r="A1737" i="4"/>
  <c r="D1736" i="4"/>
  <c r="A1736" i="4"/>
  <c r="D1735" i="4"/>
  <c r="A1735" i="4"/>
  <c r="D1734" i="4"/>
  <c r="A1734" i="4"/>
  <c r="D1733" i="4"/>
  <c r="A1733" i="4"/>
  <c r="D1732" i="4"/>
  <c r="A1732" i="4"/>
  <c r="D1731" i="4"/>
  <c r="A1731" i="4"/>
  <c r="D1730" i="4"/>
  <c r="A1730" i="4"/>
  <c r="D1729" i="4"/>
  <c r="A1729" i="4"/>
  <c r="D1728" i="4"/>
  <c r="A1728" i="4"/>
  <c r="D1727" i="4"/>
  <c r="A1727" i="4"/>
  <c r="D1726" i="4"/>
  <c r="A1726" i="4"/>
  <c r="D1725" i="4"/>
  <c r="A1725" i="4"/>
  <c r="D1724" i="4"/>
  <c r="A1724" i="4"/>
  <c r="D1723" i="4"/>
  <c r="A1723" i="4"/>
  <c r="D1722" i="4"/>
  <c r="A1722" i="4"/>
  <c r="D1721" i="4"/>
  <c r="A1721" i="4"/>
  <c r="D1720" i="4"/>
  <c r="A1720" i="4"/>
  <c r="D1719" i="4"/>
  <c r="A1719" i="4"/>
  <c r="D1718" i="4"/>
  <c r="A1718" i="4"/>
  <c r="D1717" i="4"/>
  <c r="A1717" i="4"/>
  <c r="D1716" i="4"/>
  <c r="A1716" i="4"/>
  <c r="D1715" i="4"/>
  <c r="A1715" i="4"/>
  <c r="D1714" i="4"/>
  <c r="A1714" i="4"/>
  <c r="D1713" i="4"/>
  <c r="A1713" i="4"/>
  <c r="D1712" i="4"/>
  <c r="A1712" i="4"/>
  <c r="D1711" i="4"/>
  <c r="A1711" i="4"/>
  <c r="D1710" i="4"/>
  <c r="A1710" i="4"/>
  <c r="D1709" i="4"/>
  <c r="A1709" i="4"/>
  <c r="D1708" i="4"/>
  <c r="A1708" i="4"/>
  <c r="D1707" i="4"/>
  <c r="A1707" i="4"/>
  <c r="D1706" i="4"/>
  <c r="A1706" i="4"/>
  <c r="D1705" i="4"/>
  <c r="A1705" i="4"/>
  <c r="D1704" i="4"/>
  <c r="A1704" i="4"/>
  <c r="D1703" i="4"/>
  <c r="A1703" i="4"/>
  <c r="D1702" i="4"/>
  <c r="A1702" i="4"/>
  <c r="D1701" i="4"/>
  <c r="A1701" i="4"/>
  <c r="D1700" i="4"/>
  <c r="A1700" i="4"/>
  <c r="D1699" i="4"/>
  <c r="A1699" i="4"/>
  <c r="D1698" i="4"/>
  <c r="A1698" i="4"/>
  <c r="D1697" i="4"/>
  <c r="A1697" i="4"/>
  <c r="D1696" i="4"/>
  <c r="A1696" i="4"/>
  <c r="D1695" i="4"/>
  <c r="A1695" i="4"/>
  <c r="D1694" i="4"/>
  <c r="A1694" i="4"/>
  <c r="D1693" i="4"/>
  <c r="A1693" i="4"/>
  <c r="D1692" i="4"/>
  <c r="A1692" i="4"/>
  <c r="D1691" i="4"/>
  <c r="A1691" i="4"/>
  <c r="D1690" i="4"/>
  <c r="A1690" i="4"/>
  <c r="D1689" i="4"/>
  <c r="A1689" i="4"/>
  <c r="D1688" i="4"/>
  <c r="A1688" i="4"/>
  <c r="D1687" i="4"/>
  <c r="A1687" i="4"/>
  <c r="D1686" i="4"/>
  <c r="A1686" i="4"/>
  <c r="D1685" i="4"/>
  <c r="A1685" i="4"/>
  <c r="D1684" i="4"/>
  <c r="A1684" i="4"/>
  <c r="D1683" i="4"/>
  <c r="A1683" i="4"/>
  <c r="D1682" i="4"/>
  <c r="A1682" i="4"/>
  <c r="D1681" i="4"/>
  <c r="A1681" i="4"/>
  <c r="D1680" i="4"/>
  <c r="A1680" i="4"/>
  <c r="D1679" i="4"/>
  <c r="A1679" i="4"/>
  <c r="D1678" i="4"/>
  <c r="A1678" i="4"/>
  <c r="D1677" i="4"/>
  <c r="A1677" i="4"/>
  <c r="D1676" i="4"/>
  <c r="A1676" i="4"/>
  <c r="D1675" i="4"/>
  <c r="A1675" i="4"/>
  <c r="D1674" i="4"/>
  <c r="A1674" i="4"/>
  <c r="D1673" i="4"/>
  <c r="A1673" i="4"/>
  <c r="D1672" i="4"/>
  <c r="A1672" i="4"/>
  <c r="D1671" i="4"/>
  <c r="A1671" i="4"/>
  <c r="D1670" i="4"/>
  <c r="A1670" i="4"/>
  <c r="D1669" i="4"/>
  <c r="A1669" i="4"/>
  <c r="D1668" i="4"/>
  <c r="A1668" i="4"/>
  <c r="D1667" i="4"/>
  <c r="A1667" i="4"/>
  <c r="D1666" i="4"/>
  <c r="A1666" i="4"/>
  <c r="D1665" i="4"/>
  <c r="A1665" i="4"/>
  <c r="D1664" i="4"/>
  <c r="A1664" i="4"/>
  <c r="D1663" i="4"/>
  <c r="A1663" i="4"/>
  <c r="D1662" i="4"/>
  <c r="A1662" i="4"/>
  <c r="D1661" i="4"/>
  <c r="A1661" i="4"/>
  <c r="D1660" i="4"/>
  <c r="A1660" i="4"/>
  <c r="D1659" i="4"/>
  <c r="A1659" i="4"/>
  <c r="D1658" i="4"/>
  <c r="A1658" i="4"/>
  <c r="D1657" i="4"/>
  <c r="A1657" i="4"/>
  <c r="D1656" i="4"/>
  <c r="A1656" i="4"/>
  <c r="D1655" i="4"/>
  <c r="A1655" i="4"/>
  <c r="D1654" i="4"/>
  <c r="A1654" i="4"/>
  <c r="D1653" i="4"/>
  <c r="A1653" i="4"/>
  <c r="D1652" i="4"/>
  <c r="A1652" i="4"/>
  <c r="D1651" i="4"/>
  <c r="A1651" i="4"/>
  <c r="D1650" i="4"/>
  <c r="A1650" i="4"/>
  <c r="D1649" i="4"/>
  <c r="A1649" i="4"/>
  <c r="D1648" i="4"/>
  <c r="A1648" i="4"/>
  <c r="D1647" i="4"/>
  <c r="A1647" i="4"/>
  <c r="D1646" i="4"/>
  <c r="A1646" i="4"/>
  <c r="D1645" i="4"/>
  <c r="A1645" i="4"/>
  <c r="D1644" i="4"/>
  <c r="A1644" i="4"/>
  <c r="D1643" i="4"/>
  <c r="A1643" i="4"/>
  <c r="D1642" i="4"/>
  <c r="A1642" i="4"/>
  <c r="D1641" i="4"/>
  <c r="A1641" i="4"/>
  <c r="D1640" i="4"/>
  <c r="A1640" i="4"/>
  <c r="D1639" i="4"/>
  <c r="A1639" i="4"/>
  <c r="D1638" i="4"/>
  <c r="A1638" i="4"/>
  <c r="D1637" i="4"/>
  <c r="A1637" i="4"/>
  <c r="D1636" i="4"/>
  <c r="A1636" i="4"/>
  <c r="D1635" i="4"/>
  <c r="A1635" i="4"/>
  <c r="D1634" i="4"/>
  <c r="A1634" i="4"/>
  <c r="D1633" i="4"/>
  <c r="A1633" i="4"/>
  <c r="D1632" i="4"/>
  <c r="A1632" i="4"/>
  <c r="D1631" i="4"/>
  <c r="A1631" i="4"/>
  <c r="D1630" i="4"/>
  <c r="A1630" i="4"/>
  <c r="D1629" i="4"/>
  <c r="A1629" i="4"/>
  <c r="D1628" i="4"/>
  <c r="A1628" i="4"/>
  <c r="D1627" i="4"/>
  <c r="A1627" i="4"/>
  <c r="D1626" i="4"/>
  <c r="A1626" i="4"/>
  <c r="D1625" i="4"/>
  <c r="A1625" i="4"/>
  <c r="D1624" i="4"/>
  <c r="A1624" i="4"/>
  <c r="D1623" i="4"/>
  <c r="A1623" i="4"/>
  <c r="D1622" i="4"/>
  <c r="A1622" i="4"/>
  <c r="D1621" i="4"/>
  <c r="A1621" i="4"/>
  <c r="D1620" i="4"/>
  <c r="A1620" i="4"/>
  <c r="D1619" i="4"/>
  <c r="A1619" i="4"/>
  <c r="D1618" i="4"/>
  <c r="A1618" i="4"/>
  <c r="D1617" i="4"/>
  <c r="A1617" i="4"/>
  <c r="D1616" i="4"/>
  <c r="A1616" i="4"/>
  <c r="D1615" i="4"/>
  <c r="A1615" i="4"/>
  <c r="D1614" i="4"/>
  <c r="A1614" i="4"/>
  <c r="D1613" i="4"/>
  <c r="A1613" i="4"/>
  <c r="D1612" i="4"/>
  <c r="A1612" i="4"/>
  <c r="D1611" i="4"/>
  <c r="A1611" i="4"/>
  <c r="D1610" i="4"/>
  <c r="A1610" i="4"/>
  <c r="D1609" i="4"/>
  <c r="A1609" i="4"/>
  <c r="D1608" i="4"/>
  <c r="A1608" i="4"/>
  <c r="D1607" i="4"/>
  <c r="A1607" i="4"/>
  <c r="D1606" i="4"/>
  <c r="A1606" i="4"/>
  <c r="D1605" i="4"/>
  <c r="A1605" i="4"/>
  <c r="D1604" i="4"/>
  <c r="A1604" i="4"/>
  <c r="D1603" i="4"/>
  <c r="A1603" i="4"/>
  <c r="D1602" i="4"/>
  <c r="A1602" i="4"/>
  <c r="D1601" i="4"/>
  <c r="A1601" i="4"/>
  <c r="D1600" i="4"/>
  <c r="A1600" i="4"/>
  <c r="D1599" i="4"/>
  <c r="A1599" i="4"/>
  <c r="D1598" i="4"/>
  <c r="A1598" i="4"/>
  <c r="D1597" i="4"/>
  <c r="A1597" i="4"/>
  <c r="D1596" i="4"/>
  <c r="A1596" i="4"/>
  <c r="D1595" i="4"/>
  <c r="A1595" i="4"/>
  <c r="D1594" i="4"/>
  <c r="A1594" i="4"/>
  <c r="D1593" i="4"/>
  <c r="A1593" i="4"/>
  <c r="D1592" i="4"/>
  <c r="A1592" i="4"/>
  <c r="D1591" i="4"/>
  <c r="A1591" i="4"/>
  <c r="D1590" i="4"/>
  <c r="A1590" i="4"/>
  <c r="D1589" i="4"/>
  <c r="A1589" i="4"/>
  <c r="D1588" i="4"/>
  <c r="A1588" i="4"/>
  <c r="D1587" i="4"/>
  <c r="A1587" i="4"/>
  <c r="D1586" i="4"/>
  <c r="A1586" i="4"/>
  <c r="D1585" i="4"/>
  <c r="A1585" i="4"/>
  <c r="D1584" i="4"/>
  <c r="A1584" i="4"/>
  <c r="D1583" i="4"/>
  <c r="A1583" i="4"/>
  <c r="D1582" i="4"/>
  <c r="A1582" i="4"/>
  <c r="D1581" i="4"/>
  <c r="A1581" i="4"/>
  <c r="D1580" i="4"/>
  <c r="A1580" i="4"/>
  <c r="D1579" i="4"/>
  <c r="A1579" i="4"/>
  <c r="D1578" i="4"/>
  <c r="A1578" i="4"/>
  <c r="D1577" i="4"/>
  <c r="A1577" i="4"/>
  <c r="D1576" i="4"/>
  <c r="A1576" i="4"/>
  <c r="D1575" i="4"/>
  <c r="A1575" i="4"/>
  <c r="D1574" i="4"/>
  <c r="A1574" i="4"/>
  <c r="D1573" i="4"/>
  <c r="A1573" i="4"/>
  <c r="D1572" i="4"/>
  <c r="A1572" i="4"/>
  <c r="D1571" i="4"/>
  <c r="A1571" i="4"/>
  <c r="D1570" i="4"/>
  <c r="A1570" i="4"/>
  <c r="D1569" i="4"/>
  <c r="A1569" i="4"/>
  <c r="D1568" i="4"/>
  <c r="A1568" i="4"/>
  <c r="D1567" i="4"/>
  <c r="A1567" i="4"/>
  <c r="D1566" i="4"/>
  <c r="A1566" i="4"/>
  <c r="D1565" i="4"/>
  <c r="A1565" i="4"/>
  <c r="D1564" i="4"/>
  <c r="A1564" i="4"/>
  <c r="D1563" i="4"/>
  <c r="A1563" i="4"/>
  <c r="D1562" i="4"/>
  <c r="A1562" i="4"/>
  <c r="D1561" i="4"/>
  <c r="A1561" i="4"/>
  <c r="D1560" i="4"/>
  <c r="A1560" i="4"/>
  <c r="D1559" i="4"/>
  <c r="A1559" i="4"/>
  <c r="D1558" i="4"/>
  <c r="A1558" i="4"/>
  <c r="D1557" i="4"/>
  <c r="A1557" i="4"/>
  <c r="D1556" i="4"/>
  <c r="A1556" i="4"/>
  <c r="D1555" i="4"/>
  <c r="A1555" i="4"/>
  <c r="D1554" i="4"/>
  <c r="A1554" i="4"/>
  <c r="D1553" i="4"/>
  <c r="A1553" i="4"/>
  <c r="D1552" i="4"/>
  <c r="A1552" i="4"/>
  <c r="D1551" i="4"/>
  <c r="A1551" i="4"/>
  <c r="D1550" i="4"/>
  <c r="A1550" i="4"/>
  <c r="D1549" i="4"/>
  <c r="A1549" i="4"/>
  <c r="D1548" i="4"/>
  <c r="A1548" i="4"/>
  <c r="D1547" i="4"/>
  <c r="A1547" i="4"/>
  <c r="D1546" i="4"/>
  <c r="A1546" i="4"/>
  <c r="D1545" i="4"/>
  <c r="A1545" i="4"/>
  <c r="D1544" i="4"/>
  <c r="A1544" i="4"/>
  <c r="D1543" i="4"/>
  <c r="A1543" i="4"/>
  <c r="D1542" i="4"/>
  <c r="A1542" i="4"/>
  <c r="D1541" i="4"/>
  <c r="A1541" i="4"/>
  <c r="D1540" i="4"/>
  <c r="A1540" i="4"/>
  <c r="D1539" i="4"/>
  <c r="A1539" i="4"/>
  <c r="D1538" i="4"/>
  <c r="A1538" i="4"/>
  <c r="D1537" i="4"/>
  <c r="A1537" i="4"/>
  <c r="D1536" i="4"/>
  <c r="A1536" i="4"/>
  <c r="D1535" i="4"/>
  <c r="A1535" i="4"/>
  <c r="D1534" i="4"/>
  <c r="A1534" i="4"/>
  <c r="D1533" i="4"/>
  <c r="A1533" i="4"/>
  <c r="D1532" i="4"/>
  <c r="A1532" i="4"/>
  <c r="D1531" i="4"/>
  <c r="A1531" i="4"/>
  <c r="D1530" i="4"/>
  <c r="A1530" i="4"/>
  <c r="D1529" i="4"/>
  <c r="A1529" i="4"/>
  <c r="D1528" i="4"/>
  <c r="A1528" i="4"/>
  <c r="D1527" i="4"/>
  <c r="A1527" i="4"/>
  <c r="D1526" i="4"/>
  <c r="A1526" i="4"/>
  <c r="D1525" i="4"/>
  <c r="A1525" i="4"/>
  <c r="D1524" i="4"/>
  <c r="A1524" i="4"/>
  <c r="D1523" i="4"/>
  <c r="A1523" i="4"/>
  <c r="D1522" i="4"/>
  <c r="A1522" i="4"/>
  <c r="D1521" i="4"/>
  <c r="A1521" i="4"/>
  <c r="D1520" i="4"/>
  <c r="A1520" i="4"/>
  <c r="D1519" i="4"/>
  <c r="A1519" i="4"/>
  <c r="D1518" i="4"/>
  <c r="A1518" i="4"/>
  <c r="D1517" i="4"/>
  <c r="A1517" i="4"/>
  <c r="D1516" i="4"/>
  <c r="A1516" i="4"/>
  <c r="D1515" i="4"/>
  <c r="A1515" i="4"/>
  <c r="D1514" i="4"/>
  <c r="A1514" i="4"/>
  <c r="D1513" i="4"/>
  <c r="A1513" i="4"/>
  <c r="D1512" i="4"/>
  <c r="A1512" i="4"/>
  <c r="D1511" i="4"/>
  <c r="A1511" i="4"/>
  <c r="D1510" i="4"/>
  <c r="A1510" i="4"/>
  <c r="D1509" i="4"/>
  <c r="A1509" i="4"/>
  <c r="D1508" i="4"/>
  <c r="A1508" i="4"/>
  <c r="D1507" i="4"/>
  <c r="A1507" i="4"/>
  <c r="D1506" i="4"/>
  <c r="A1506" i="4"/>
  <c r="D1505" i="4"/>
  <c r="A1505" i="4"/>
  <c r="D1504" i="4"/>
  <c r="A1504" i="4"/>
  <c r="D1503" i="4"/>
  <c r="A1503" i="4"/>
  <c r="D1502" i="4"/>
  <c r="A1502" i="4"/>
  <c r="D1501" i="4"/>
  <c r="A1501" i="4"/>
  <c r="D1500" i="4"/>
  <c r="A1500" i="4"/>
  <c r="D1499" i="4"/>
  <c r="A1499" i="4"/>
  <c r="D1498" i="4"/>
  <c r="A1498" i="4"/>
  <c r="D1497" i="4"/>
  <c r="A1497" i="4"/>
  <c r="D1496" i="4"/>
  <c r="A1496" i="4"/>
  <c r="D1495" i="4"/>
  <c r="A1495" i="4"/>
  <c r="D1494" i="4"/>
  <c r="A1494" i="4"/>
  <c r="D1493" i="4"/>
  <c r="A1493" i="4"/>
  <c r="D1492" i="4"/>
  <c r="A1492" i="4"/>
  <c r="D1491" i="4"/>
  <c r="A1491" i="4"/>
  <c r="D1490" i="4"/>
  <c r="A1490" i="4"/>
  <c r="D1489" i="4"/>
  <c r="A1489" i="4"/>
  <c r="D1488" i="4"/>
  <c r="A1488" i="4"/>
  <c r="D1487" i="4"/>
  <c r="A1487" i="4"/>
  <c r="D1486" i="4"/>
  <c r="A1486" i="4"/>
  <c r="D1485" i="4"/>
  <c r="A1485" i="4"/>
  <c r="D1484" i="4"/>
  <c r="A1484" i="4"/>
  <c r="D1483" i="4"/>
  <c r="A1483" i="4"/>
  <c r="D1482" i="4"/>
  <c r="A1482" i="4"/>
  <c r="D1481" i="4"/>
  <c r="A1481" i="4"/>
  <c r="D1480" i="4"/>
  <c r="A1480" i="4"/>
  <c r="D1479" i="4"/>
  <c r="A1479" i="4"/>
  <c r="D1478" i="4"/>
  <c r="A1478" i="4"/>
  <c r="D1477" i="4"/>
  <c r="A1477" i="4"/>
  <c r="D1476" i="4"/>
  <c r="A1476" i="4"/>
  <c r="D1475" i="4"/>
  <c r="A1475" i="4"/>
  <c r="D1474" i="4"/>
  <c r="A1474" i="4"/>
  <c r="D1473" i="4"/>
  <c r="A1473" i="4"/>
  <c r="D1472" i="4"/>
  <c r="A1472" i="4"/>
  <c r="D1471" i="4"/>
  <c r="A1471" i="4"/>
  <c r="D1470" i="4"/>
  <c r="A1470" i="4"/>
  <c r="D1469" i="4"/>
  <c r="A1469" i="4"/>
  <c r="D1468" i="4"/>
  <c r="A1468" i="4"/>
  <c r="D1467" i="4"/>
  <c r="A1467" i="4"/>
  <c r="D1466" i="4"/>
  <c r="A1466" i="4"/>
  <c r="D1465" i="4"/>
  <c r="A1465" i="4"/>
  <c r="D1464" i="4"/>
  <c r="A1464" i="4"/>
  <c r="D1463" i="4"/>
  <c r="A1463" i="4"/>
  <c r="D1462" i="4"/>
  <c r="A1462" i="4"/>
  <c r="D1461" i="4"/>
  <c r="A1461" i="4"/>
  <c r="D1460" i="4"/>
  <c r="A1460" i="4"/>
  <c r="D1459" i="4"/>
  <c r="A1459" i="4"/>
  <c r="D1458" i="4"/>
  <c r="A1458" i="4"/>
  <c r="D1457" i="4"/>
  <c r="A1457" i="4"/>
  <c r="D1456" i="4"/>
  <c r="A1456" i="4"/>
  <c r="D1455" i="4"/>
  <c r="A1455" i="4"/>
  <c r="D1454" i="4"/>
  <c r="A1454" i="4"/>
  <c r="D1453" i="4"/>
  <c r="A1453" i="4"/>
  <c r="D1452" i="4"/>
  <c r="A1452" i="4"/>
  <c r="D1451" i="4"/>
  <c r="A1451" i="4"/>
  <c r="D1450" i="4"/>
  <c r="A1450" i="4"/>
  <c r="D1449" i="4"/>
  <c r="A1449" i="4"/>
  <c r="D1448" i="4"/>
  <c r="A1448" i="4"/>
  <c r="D1447" i="4"/>
  <c r="A1447" i="4"/>
  <c r="D1446" i="4"/>
  <c r="A1446" i="4"/>
  <c r="D1445" i="4"/>
  <c r="A1445" i="4"/>
  <c r="D1444" i="4"/>
  <c r="A1444" i="4"/>
  <c r="D1443" i="4"/>
  <c r="A1443" i="4"/>
  <c r="D1442" i="4"/>
  <c r="A1442" i="4"/>
  <c r="D1441" i="4"/>
  <c r="A1441" i="4"/>
  <c r="D1440" i="4"/>
  <c r="A1440" i="4"/>
  <c r="D1439" i="4"/>
  <c r="A1439" i="4"/>
  <c r="D1438" i="4"/>
  <c r="A1438" i="4"/>
  <c r="D1437" i="4"/>
  <c r="A1437" i="4"/>
  <c r="D1436" i="4"/>
  <c r="A1436" i="4"/>
  <c r="D1435" i="4"/>
  <c r="A1435" i="4"/>
  <c r="D1434" i="4"/>
  <c r="A1434" i="4"/>
  <c r="D1433" i="4"/>
  <c r="A1433" i="4"/>
  <c r="D1432" i="4"/>
  <c r="A1432" i="4"/>
  <c r="D1431" i="4"/>
  <c r="A1431" i="4"/>
  <c r="D1430" i="4"/>
  <c r="A1430" i="4"/>
  <c r="D1429" i="4"/>
  <c r="A1429" i="4"/>
  <c r="D1428" i="4"/>
  <c r="A1428" i="4"/>
  <c r="D1427" i="4"/>
  <c r="A1427" i="4"/>
  <c r="D1426" i="4"/>
  <c r="A1426" i="4"/>
  <c r="D1425" i="4"/>
  <c r="A1425" i="4"/>
  <c r="D1424" i="4"/>
  <c r="A1424" i="4"/>
  <c r="D1423" i="4"/>
  <c r="A1423" i="4"/>
  <c r="D1422" i="4"/>
  <c r="A1422" i="4"/>
  <c r="D1421" i="4"/>
  <c r="A1421" i="4"/>
  <c r="D1420" i="4"/>
  <c r="A1420" i="4"/>
  <c r="D1419" i="4"/>
  <c r="A1419" i="4"/>
  <c r="D1418" i="4"/>
  <c r="A1418" i="4"/>
  <c r="D1417" i="4"/>
  <c r="A1417" i="4"/>
  <c r="D1416" i="4"/>
  <c r="A1416" i="4"/>
  <c r="D1415" i="4"/>
  <c r="A1415" i="4"/>
  <c r="D1414" i="4"/>
  <c r="A1414" i="4"/>
  <c r="D1413" i="4"/>
  <c r="A1413" i="4"/>
  <c r="D1412" i="4"/>
  <c r="A1412" i="4"/>
  <c r="D1411" i="4"/>
  <c r="A1411" i="4"/>
  <c r="D1410" i="4"/>
  <c r="A1410" i="4"/>
  <c r="D1409" i="4"/>
  <c r="A1409" i="4"/>
  <c r="D1408" i="4"/>
  <c r="A1408" i="4"/>
  <c r="D1407" i="4"/>
  <c r="A1407" i="4"/>
  <c r="D1406" i="4"/>
  <c r="A1406" i="4"/>
  <c r="D1405" i="4"/>
  <c r="A1405" i="4"/>
  <c r="D1404" i="4"/>
  <c r="A1404" i="4"/>
  <c r="D1403" i="4"/>
  <c r="A1403" i="4"/>
  <c r="D1402" i="4"/>
  <c r="A1402" i="4"/>
  <c r="D1401" i="4"/>
  <c r="A1401" i="4"/>
  <c r="D1400" i="4"/>
  <c r="A1400" i="4"/>
  <c r="D1399" i="4"/>
  <c r="A1399" i="4"/>
  <c r="D1398" i="4"/>
  <c r="A1398" i="4"/>
  <c r="D1397" i="4"/>
  <c r="A1397" i="4"/>
  <c r="D1396" i="4"/>
  <c r="A1396" i="4"/>
  <c r="D1395" i="4"/>
  <c r="A1395" i="4"/>
  <c r="D1394" i="4"/>
  <c r="A1394" i="4"/>
  <c r="D1393" i="4"/>
  <c r="A1393" i="4"/>
  <c r="D1392" i="4"/>
  <c r="A1392" i="4"/>
  <c r="D1391" i="4"/>
  <c r="A1391" i="4"/>
  <c r="D1390" i="4"/>
  <c r="A1390" i="4"/>
  <c r="D1389" i="4"/>
  <c r="A1389" i="4"/>
  <c r="D1388" i="4"/>
  <c r="A1388" i="4"/>
  <c r="D1387" i="4"/>
  <c r="A1387" i="4"/>
  <c r="D1386" i="4"/>
  <c r="A1386" i="4"/>
  <c r="D1385" i="4"/>
  <c r="A1385" i="4"/>
  <c r="D1384" i="4"/>
  <c r="A1384" i="4"/>
  <c r="D1383" i="4"/>
  <c r="A1383" i="4"/>
  <c r="D1382" i="4"/>
  <c r="A1382" i="4"/>
  <c r="D1381" i="4"/>
  <c r="A1381" i="4"/>
  <c r="D1380" i="4"/>
  <c r="A1380" i="4"/>
  <c r="D1379" i="4"/>
  <c r="A1379" i="4"/>
  <c r="D1378" i="4"/>
  <c r="A1378" i="4"/>
  <c r="D1377" i="4"/>
  <c r="A1377" i="4"/>
  <c r="D1376" i="4"/>
  <c r="A1376" i="4"/>
  <c r="D1375" i="4"/>
  <c r="A1375" i="4"/>
  <c r="D1374" i="4"/>
  <c r="A1374" i="4"/>
  <c r="D1373" i="4"/>
  <c r="A1373" i="4"/>
  <c r="D1372" i="4"/>
  <c r="A1372" i="4"/>
  <c r="D1371" i="4"/>
  <c r="A1371" i="4"/>
  <c r="D1370" i="4"/>
  <c r="A1370" i="4"/>
  <c r="D1369" i="4"/>
  <c r="A1369" i="4"/>
  <c r="D1368" i="4"/>
  <c r="A1368" i="4"/>
  <c r="D1367" i="4"/>
  <c r="A1367" i="4"/>
  <c r="D1366" i="4"/>
  <c r="A1366" i="4"/>
  <c r="D1365" i="4"/>
  <c r="A1365" i="4"/>
  <c r="D1364" i="4"/>
  <c r="A1364" i="4"/>
  <c r="D1363" i="4"/>
  <c r="A1363" i="4"/>
  <c r="D1362" i="4"/>
  <c r="A1362" i="4"/>
  <c r="D1361" i="4"/>
  <c r="A1361" i="4"/>
  <c r="D1360" i="4"/>
  <c r="A1360" i="4"/>
  <c r="D1359" i="4"/>
  <c r="A1359" i="4"/>
  <c r="D1358" i="4"/>
  <c r="A1358" i="4"/>
  <c r="D1357" i="4"/>
  <c r="A1357" i="4"/>
  <c r="D1356" i="4"/>
  <c r="A1356" i="4"/>
  <c r="D1355" i="4"/>
  <c r="A1355" i="4"/>
  <c r="D1354" i="4"/>
  <c r="A1354" i="4"/>
  <c r="D1353" i="4"/>
  <c r="A1353" i="4"/>
  <c r="D1352" i="4"/>
  <c r="A1352" i="4"/>
  <c r="D1351" i="4"/>
  <c r="A1351" i="4"/>
  <c r="D1350" i="4"/>
  <c r="A1350" i="4"/>
  <c r="D1349" i="4"/>
  <c r="A1349" i="4"/>
  <c r="D1348" i="4"/>
  <c r="A1348" i="4"/>
  <c r="D1347" i="4"/>
  <c r="A1347" i="4"/>
  <c r="D1346" i="4"/>
  <c r="A1346" i="4"/>
  <c r="D1345" i="4"/>
  <c r="A1345" i="4"/>
  <c r="D1344" i="4"/>
  <c r="A1344" i="4"/>
  <c r="D1343" i="4"/>
  <c r="A1343" i="4"/>
  <c r="D1342" i="4"/>
  <c r="A1342" i="4"/>
  <c r="D1341" i="4"/>
  <c r="A1341" i="4"/>
  <c r="D1340" i="4"/>
  <c r="A1340" i="4"/>
  <c r="D1339" i="4"/>
  <c r="A1339" i="4"/>
  <c r="D1338" i="4"/>
  <c r="A1338" i="4"/>
  <c r="D1337" i="4"/>
  <c r="A1337" i="4"/>
  <c r="D1336" i="4"/>
  <c r="A1336" i="4"/>
  <c r="D1335" i="4"/>
  <c r="A1335" i="4"/>
  <c r="D1334" i="4"/>
  <c r="A1334" i="4"/>
  <c r="D1333" i="4"/>
  <c r="A1333" i="4"/>
  <c r="D1332" i="4"/>
  <c r="A1332" i="4"/>
  <c r="D1331" i="4"/>
  <c r="A1331" i="4"/>
  <c r="D1330" i="4"/>
  <c r="A1330" i="4"/>
  <c r="D1329" i="4"/>
  <c r="A1329" i="4"/>
  <c r="D1328" i="4"/>
  <c r="A1328" i="4"/>
  <c r="D1327" i="4"/>
  <c r="A1327" i="4"/>
  <c r="D1326" i="4"/>
  <c r="A1326" i="4"/>
  <c r="D1325" i="4"/>
  <c r="A1325" i="4"/>
  <c r="D1324" i="4"/>
  <c r="A1324" i="4"/>
  <c r="D1323" i="4"/>
  <c r="A1323" i="4"/>
  <c r="D1322" i="4"/>
  <c r="A1322" i="4"/>
  <c r="D1321" i="4"/>
  <c r="A1321" i="4"/>
  <c r="D1320" i="4"/>
  <c r="A1320" i="4"/>
  <c r="D1319" i="4"/>
  <c r="A1319" i="4"/>
  <c r="D1318" i="4"/>
  <c r="A1318" i="4"/>
  <c r="D1317" i="4"/>
  <c r="A1317" i="4"/>
  <c r="D1316" i="4"/>
  <c r="A1316" i="4"/>
  <c r="D1315" i="4"/>
  <c r="A1315" i="4"/>
  <c r="D1314" i="4"/>
  <c r="A1314" i="4"/>
  <c r="D1313" i="4"/>
  <c r="A1313" i="4"/>
  <c r="D1312" i="4"/>
  <c r="A1312" i="4"/>
  <c r="D1311" i="4"/>
  <c r="A1311" i="4"/>
  <c r="D1310" i="4"/>
  <c r="A1310" i="4"/>
  <c r="D1309" i="4"/>
  <c r="A1309" i="4"/>
  <c r="D1308" i="4"/>
  <c r="A1308" i="4"/>
  <c r="D1307" i="4"/>
  <c r="A1307" i="4"/>
  <c r="D1306" i="4"/>
  <c r="A1306" i="4"/>
  <c r="D1305" i="4"/>
  <c r="A1305" i="4"/>
  <c r="D1304" i="4"/>
  <c r="A1304" i="4"/>
  <c r="D1303" i="4"/>
  <c r="A1303" i="4"/>
  <c r="D1302" i="4"/>
  <c r="A1302" i="4"/>
  <c r="D1301" i="4"/>
  <c r="A1301" i="4"/>
  <c r="D1300" i="4"/>
  <c r="A1300" i="4"/>
  <c r="D1299" i="4"/>
  <c r="A1299" i="4"/>
  <c r="D1298" i="4"/>
  <c r="A1298" i="4"/>
  <c r="D1297" i="4"/>
  <c r="A1297" i="4"/>
  <c r="D1296" i="4"/>
  <c r="A1296" i="4"/>
  <c r="D1295" i="4"/>
  <c r="A1295" i="4"/>
  <c r="D1294" i="4"/>
  <c r="A1294" i="4"/>
  <c r="D1293" i="4"/>
  <c r="A1293" i="4"/>
  <c r="D1292" i="4"/>
  <c r="A1292" i="4"/>
  <c r="D1291" i="4"/>
  <c r="A1291" i="4"/>
  <c r="D1290" i="4"/>
  <c r="A1290" i="4"/>
  <c r="D1289" i="4"/>
  <c r="A1289" i="4"/>
  <c r="D1288" i="4"/>
  <c r="A1288" i="4"/>
  <c r="D1287" i="4"/>
  <c r="A1287" i="4"/>
  <c r="D1286" i="4"/>
  <c r="A1286" i="4"/>
  <c r="D1285" i="4"/>
  <c r="A1285" i="4"/>
  <c r="D1284" i="4"/>
  <c r="A1284" i="4"/>
  <c r="D1283" i="4"/>
  <c r="A1283" i="4"/>
  <c r="D1282" i="4"/>
  <c r="A1282" i="4"/>
  <c r="D1281" i="4"/>
  <c r="A1281" i="4"/>
  <c r="D1280" i="4"/>
  <c r="A1280" i="4"/>
  <c r="D1279" i="4"/>
  <c r="A1279" i="4"/>
  <c r="D1278" i="4"/>
  <c r="A1278" i="4"/>
  <c r="D1277" i="4"/>
  <c r="A1277" i="4"/>
  <c r="D1276" i="4"/>
  <c r="A1276" i="4"/>
  <c r="D1275" i="4"/>
  <c r="A1275" i="4"/>
  <c r="D1274" i="4"/>
  <c r="A1274" i="4"/>
  <c r="D1273" i="4"/>
  <c r="A1273" i="4"/>
  <c r="D1272" i="4"/>
  <c r="A1272" i="4"/>
  <c r="D1271" i="4"/>
  <c r="A1271" i="4"/>
  <c r="D1270" i="4"/>
  <c r="A1270" i="4"/>
  <c r="D1269" i="4"/>
  <c r="A1269" i="4"/>
  <c r="D1268" i="4"/>
  <c r="A1268" i="4"/>
  <c r="D1267" i="4"/>
  <c r="A1267" i="4"/>
  <c r="D1266" i="4"/>
  <c r="A1266" i="4"/>
  <c r="D1265" i="4"/>
  <c r="A1265" i="4"/>
  <c r="D1264" i="4"/>
  <c r="A1264" i="4"/>
  <c r="D1263" i="4"/>
  <c r="A1263" i="4"/>
  <c r="D1262" i="4"/>
  <c r="A1262" i="4"/>
  <c r="D1261" i="4"/>
  <c r="A1261" i="4"/>
  <c r="D1260" i="4"/>
  <c r="A1260" i="4"/>
  <c r="D1259" i="4"/>
  <c r="A1259" i="4"/>
  <c r="D1258" i="4"/>
  <c r="A1258" i="4"/>
  <c r="D1257" i="4"/>
  <c r="A1257" i="4"/>
  <c r="D1256" i="4"/>
  <c r="A1256" i="4"/>
  <c r="D1255" i="4"/>
  <c r="A1255" i="4"/>
  <c r="D1254" i="4"/>
  <c r="A1254" i="4"/>
  <c r="D1253" i="4"/>
  <c r="A1253" i="4"/>
  <c r="D1252" i="4"/>
  <c r="A1252" i="4"/>
  <c r="D1251" i="4"/>
  <c r="A1251" i="4"/>
  <c r="D1250" i="4"/>
  <c r="A1250" i="4"/>
  <c r="D1249" i="4"/>
  <c r="A1249" i="4"/>
  <c r="D1248" i="4"/>
  <c r="A1248" i="4"/>
  <c r="D1247" i="4"/>
  <c r="A1247" i="4"/>
  <c r="D1246" i="4"/>
  <c r="A1246" i="4"/>
  <c r="D1245" i="4"/>
  <c r="A1245" i="4"/>
  <c r="D1244" i="4"/>
  <c r="A1244" i="4"/>
  <c r="D1243" i="4"/>
  <c r="A1243" i="4"/>
  <c r="D1242" i="4"/>
  <c r="A1242" i="4"/>
  <c r="D1241" i="4"/>
  <c r="A1241" i="4"/>
  <c r="D1240" i="4"/>
  <c r="A1240" i="4"/>
  <c r="D1239" i="4"/>
  <c r="A1239" i="4"/>
  <c r="D1238" i="4"/>
  <c r="A1238" i="4"/>
  <c r="D1237" i="4"/>
  <c r="A1237" i="4"/>
  <c r="D1236" i="4"/>
  <c r="A1236" i="4"/>
  <c r="D1235" i="4"/>
  <c r="A1235" i="4"/>
  <c r="D1234" i="4"/>
  <c r="A1234" i="4"/>
  <c r="D1233" i="4"/>
  <c r="A1233" i="4"/>
  <c r="D1232" i="4"/>
  <c r="A1232" i="4"/>
  <c r="D1231" i="4"/>
  <c r="A1231" i="4"/>
  <c r="D1230" i="4"/>
  <c r="A1230" i="4"/>
  <c r="D1229" i="4"/>
  <c r="A1229" i="4"/>
  <c r="D1228" i="4"/>
  <c r="A1228" i="4"/>
  <c r="D1227" i="4"/>
  <c r="A1227" i="4"/>
  <c r="D1226" i="4"/>
  <c r="A1226" i="4"/>
  <c r="D1225" i="4"/>
  <c r="A1225" i="4"/>
  <c r="D1224" i="4"/>
  <c r="A1224" i="4"/>
  <c r="D1223" i="4"/>
  <c r="A1223" i="4"/>
  <c r="D1222" i="4"/>
  <c r="A1222" i="4"/>
  <c r="D1221" i="4"/>
  <c r="A1221" i="4"/>
  <c r="D1220" i="4"/>
  <c r="A1220" i="4"/>
  <c r="D1219" i="4"/>
  <c r="A1219" i="4"/>
  <c r="D1218" i="4"/>
  <c r="A1218" i="4"/>
  <c r="D1217" i="4"/>
  <c r="A1217" i="4"/>
  <c r="D1216" i="4"/>
  <c r="A1216" i="4"/>
  <c r="D1215" i="4"/>
  <c r="A1215" i="4"/>
  <c r="D1214" i="4"/>
  <c r="A1214" i="4"/>
  <c r="D1213" i="4"/>
  <c r="A1213" i="4"/>
  <c r="D1212" i="4"/>
  <c r="A1212" i="4"/>
  <c r="D1211" i="4"/>
  <c r="A1211" i="4"/>
  <c r="D1210" i="4"/>
  <c r="A1210" i="4"/>
  <c r="D1209" i="4"/>
  <c r="A1209" i="4"/>
  <c r="D1208" i="4"/>
  <c r="A1208" i="4"/>
  <c r="D1207" i="4"/>
  <c r="A1207" i="4"/>
  <c r="D1206" i="4"/>
  <c r="A1206" i="4"/>
  <c r="D1205" i="4"/>
  <c r="A1205" i="4"/>
  <c r="D1204" i="4"/>
  <c r="A1204" i="4"/>
  <c r="D1203" i="4"/>
  <c r="A1203" i="4"/>
  <c r="D1202" i="4"/>
  <c r="A1202" i="4"/>
  <c r="D1201" i="4"/>
  <c r="A1201" i="4"/>
  <c r="D1200" i="4"/>
  <c r="A1200" i="4"/>
  <c r="D1199" i="4"/>
  <c r="A1199" i="4"/>
  <c r="D1198" i="4"/>
  <c r="A1198" i="4"/>
  <c r="D1197" i="4"/>
  <c r="A1197" i="4"/>
  <c r="D1196" i="4"/>
  <c r="A1196" i="4"/>
  <c r="D1195" i="4"/>
  <c r="A1195" i="4"/>
  <c r="D1194" i="4"/>
  <c r="A1194" i="4"/>
  <c r="D1193" i="4"/>
  <c r="A1193" i="4"/>
  <c r="D1192" i="4"/>
  <c r="A1192" i="4"/>
  <c r="D1191" i="4"/>
  <c r="A1191" i="4"/>
  <c r="D1190" i="4"/>
  <c r="A1190" i="4"/>
  <c r="D1189" i="4"/>
  <c r="A1189" i="4"/>
  <c r="D1188" i="4"/>
  <c r="A1188" i="4"/>
  <c r="D1187" i="4"/>
  <c r="A1187" i="4"/>
  <c r="D1186" i="4"/>
  <c r="A1186" i="4"/>
  <c r="D1185" i="4"/>
  <c r="A1185" i="4"/>
  <c r="D1184" i="4"/>
  <c r="A1184" i="4"/>
  <c r="D1183" i="4"/>
  <c r="A1183" i="4"/>
  <c r="D1182" i="4"/>
  <c r="A1182" i="4"/>
  <c r="D1181" i="4"/>
  <c r="A1181" i="4"/>
  <c r="D1180" i="4"/>
  <c r="A1180" i="4"/>
  <c r="D1179" i="4"/>
  <c r="A1179" i="4"/>
  <c r="D1178" i="4"/>
  <c r="A1178" i="4"/>
  <c r="D1177" i="4"/>
  <c r="A1177" i="4"/>
  <c r="D1176" i="4"/>
  <c r="A1176" i="4"/>
  <c r="D1175" i="4"/>
  <c r="A1175" i="4"/>
  <c r="D1174" i="4"/>
  <c r="A1174" i="4"/>
  <c r="D1173" i="4"/>
  <c r="A1173" i="4"/>
  <c r="D1172" i="4"/>
  <c r="A1172" i="4"/>
  <c r="D1171" i="4"/>
  <c r="A1171" i="4"/>
  <c r="D1170" i="4"/>
  <c r="A1170" i="4"/>
  <c r="D1169" i="4"/>
  <c r="A1169" i="4"/>
  <c r="D1168" i="4"/>
  <c r="A1168" i="4"/>
  <c r="D1167" i="4"/>
  <c r="A1167" i="4"/>
  <c r="D1166" i="4"/>
  <c r="A1166" i="4"/>
  <c r="D1165" i="4"/>
  <c r="A1165" i="4"/>
  <c r="D1164" i="4"/>
  <c r="A1164" i="4"/>
  <c r="D1163" i="4"/>
  <c r="A1163" i="4"/>
  <c r="D1162" i="4"/>
  <c r="A1162" i="4"/>
  <c r="D1161" i="4"/>
  <c r="A1161" i="4"/>
  <c r="D1160" i="4"/>
  <c r="A1160" i="4"/>
  <c r="D1159" i="4"/>
  <c r="A1159" i="4"/>
  <c r="D1158" i="4"/>
  <c r="A1158" i="4"/>
  <c r="D1157" i="4"/>
  <c r="A1157" i="4"/>
  <c r="D1156" i="4"/>
  <c r="A1156" i="4"/>
  <c r="D1155" i="4"/>
  <c r="A1155" i="4"/>
  <c r="D1154" i="4"/>
  <c r="A1154" i="4"/>
  <c r="D1153" i="4"/>
  <c r="A1153" i="4"/>
  <c r="D1152" i="4"/>
  <c r="A1152" i="4"/>
  <c r="D1151" i="4"/>
  <c r="A1151" i="4"/>
  <c r="D1150" i="4"/>
  <c r="A1150" i="4"/>
  <c r="D1149" i="4"/>
  <c r="A1149" i="4"/>
  <c r="D1148" i="4"/>
  <c r="A1148" i="4"/>
  <c r="D1147" i="4"/>
  <c r="A1147" i="4"/>
  <c r="D1146" i="4"/>
  <c r="A1146" i="4"/>
  <c r="D1145" i="4"/>
  <c r="A1145" i="4"/>
  <c r="D1144" i="4"/>
  <c r="A1144" i="4"/>
  <c r="D1143" i="4"/>
  <c r="A1143" i="4"/>
  <c r="D1142" i="4"/>
  <c r="A1142" i="4"/>
  <c r="D1141" i="4"/>
  <c r="A1141" i="4"/>
  <c r="D1140" i="4"/>
  <c r="A1140" i="4"/>
  <c r="D1139" i="4"/>
  <c r="A1139" i="4"/>
  <c r="D1138" i="4"/>
  <c r="A1138" i="4"/>
  <c r="D1137" i="4"/>
  <c r="A1137" i="4"/>
  <c r="D1136" i="4"/>
  <c r="A1136" i="4"/>
  <c r="D1135" i="4"/>
  <c r="A1135" i="4"/>
  <c r="D1134" i="4"/>
  <c r="A1134" i="4"/>
  <c r="D1133" i="4"/>
  <c r="A1133" i="4"/>
  <c r="D1132" i="4"/>
  <c r="A1132" i="4"/>
  <c r="D1131" i="4"/>
  <c r="A1131" i="4"/>
  <c r="D1130" i="4"/>
  <c r="A1130" i="4"/>
  <c r="D1129" i="4"/>
  <c r="A1129" i="4"/>
  <c r="D1128" i="4"/>
  <c r="A1128" i="4"/>
  <c r="D1127" i="4"/>
  <c r="A1127" i="4"/>
  <c r="D1126" i="4"/>
  <c r="A1126" i="4"/>
  <c r="D1125" i="4"/>
  <c r="A1125" i="4"/>
  <c r="D1124" i="4"/>
  <c r="A1124" i="4"/>
  <c r="D1123" i="4"/>
  <c r="A1123" i="4"/>
  <c r="D1122" i="4"/>
  <c r="A1122" i="4"/>
  <c r="D1121" i="4"/>
  <c r="A1121" i="4"/>
  <c r="D1120" i="4"/>
  <c r="A1120" i="4"/>
  <c r="D1119" i="4"/>
  <c r="A1119" i="4"/>
  <c r="D1118" i="4"/>
  <c r="A1118" i="4"/>
  <c r="D1117" i="4"/>
  <c r="A1117" i="4"/>
  <c r="D1116" i="4"/>
  <c r="A1116" i="4"/>
  <c r="D1115" i="4"/>
  <c r="A1115" i="4"/>
  <c r="D1114" i="4"/>
  <c r="A1114" i="4"/>
  <c r="D1113" i="4"/>
  <c r="A1113" i="4"/>
  <c r="D1112" i="4"/>
  <c r="A1112" i="4"/>
  <c r="D1111" i="4"/>
  <c r="A1111" i="4"/>
  <c r="D1110" i="4"/>
  <c r="A1110" i="4"/>
  <c r="D1109" i="4"/>
  <c r="A1109" i="4"/>
  <c r="D1108" i="4"/>
  <c r="A1108" i="4"/>
  <c r="D1107" i="4"/>
  <c r="A1107" i="4"/>
  <c r="D1106" i="4"/>
  <c r="A1106" i="4"/>
  <c r="D1105" i="4"/>
  <c r="A1105" i="4"/>
  <c r="D1104" i="4"/>
  <c r="A1104" i="4"/>
  <c r="D1103" i="4"/>
  <c r="A1103" i="4"/>
  <c r="D1102" i="4"/>
  <c r="A1102" i="4"/>
  <c r="D1101" i="4"/>
  <c r="A1101" i="4"/>
  <c r="D1100" i="4"/>
  <c r="A1100" i="4"/>
  <c r="D1099" i="4"/>
  <c r="A1099" i="4"/>
  <c r="D1098" i="4"/>
  <c r="A1098" i="4"/>
  <c r="D1097" i="4"/>
  <c r="A1097" i="4"/>
  <c r="D1096" i="4"/>
  <c r="A1096" i="4"/>
  <c r="D1095" i="4"/>
  <c r="A1095" i="4"/>
  <c r="D1094" i="4"/>
  <c r="A1094" i="4"/>
  <c r="D1093" i="4"/>
  <c r="A1093" i="4"/>
  <c r="D1092" i="4"/>
  <c r="A1092" i="4"/>
  <c r="D1091" i="4"/>
  <c r="A1091" i="4"/>
  <c r="D1090" i="4"/>
  <c r="A1090" i="4"/>
  <c r="D1089" i="4"/>
  <c r="A1089" i="4"/>
  <c r="D1088" i="4"/>
  <c r="A1088" i="4"/>
  <c r="D1087" i="4"/>
  <c r="A1087" i="4"/>
  <c r="D1086" i="4"/>
  <c r="A1086" i="4"/>
  <c r="D1085" i="4"/>
  <c r="A1085" i="4"/>
  <c r="D1084" i="4"/>
  <c r="A1084" i="4"/>
  <c r="D1083" i="4"/>
  <c r="A1083" i="4"/>
  <c r="D1082" i="4"/>
  <c r="A1082" i="4"/>
  <c r="D1081" i="4"/>
  <c r="A1081" i="4"/>
  <c r="D1080" i="4"/>
  <c r="A1080" i="4"/>
  <c r="D1079" i="4"/>
  <c r="A1079" i="4"/>
  <c r="D1078" i="4"/>
  <c r="A1078" i="4"/>
  <c r="D1077" i="4"/>
  <c r="A1077" i="4"/>
  <c r="D1076" i="4"/>
  <c r="A1076" i="4"/>
  <c r="D1075" i="4"/>
  <c r="A1075" i="4"/>
  <c r="D1074" i="4"/>
  <c r="A1074" i="4"/>
  <c r="D1073" i="4"/>
  <c r="A1073" i="4"/>
  <c r="D1072" i="4"/>
  <c r="A1072" i="4"/>
  <c r="D1071" i="4"/>
  <c r="A1071" i="4"/>
  <c r="D1070" i="4"/>
  <c r="A1070" i="4"/>
  <c r="D1069" i="4"/>
  <c r="A1069" i="4"/>
  <c r="D1068" i="4"/>
  <c r="A1068" i="4"/>
  <c r="D1067" i="4"/>
  <c r="A1067" i="4"/>
  <c r="D1066" i="4"/>
  <c r="A1066" i="4"/>
  <c r="D1065" i="4"/>
  <c r="A1065" i="4"/>
  <c r="D1064" i="4"/>
  <c r="A1064" i="4"/>
  <c r="D1063" i="4"/>
  <c r="A1063" i="4"/>
  <c r="D1062" i="4"/>
  <c r="A1062" i="4"/>
  <c r="D1061" i="4"/>
  <c r="A1061" i="4"/>
  <c r="D1060" i="4"/>
  <c r="A1060" i="4"/>
  <c r="D1059" i="4"/>
  <c r="A1059" i="4"/>
  <c r="D1058" i="4"/>
  <c r="A1058" i="4"/>
  <c r="D1057" i="4"/>
  <c r="A1057" i="4"/>
  <c r="D1056" i="4"/>
  <c r="A1056" i="4"/>
  <c r="D1055" i="4"/>
  <c r="A1055" i="4"/>
  <c r="D1054" i="4"/>
  <c r="A1054" i="4"/>
  <c r="D1053" i="4"/>
  <c r="A1053" i="4"/>
  <c r="D1052" i="4"/>
  <c r="A1052" i="4"/>
  <c r="D1051" i="4"/>
  <c r="A1051" i="4"/>
  <c r="D1050" i="4"/>
  <c r="A1050" i="4"/>
  <c r="D1049" i="4"/>
  <c r="A1049" i="4"/>
  <c r="D1048" i="4"/>
  <c r="A1048" i="4"/>
  <c r="D1047" i="4"/>
  <c r="A1047" i="4"/>
  <c r="D1046" i="4"/>
  <c r="A1046" i="4"/>
  <c r="D1045" i="4"/>
  <c r="A1045" i="4"/>
  <c r="D1044" i="4"/>
  <c r="A1044" i="4"/>
  <c r="D1043" i="4"/>
  <c r="A1043" i="4"/>
  <c r="D1042" i="4"/>
  <c r="A1042" i="4"/>
  <c r="D1041" i="4"/>
  <c r="A1041" i="4"/>
  <c r="D1040" i="4"/>
  <c r="A1040" i="4"/>
  <c r="D1039" i="4"/>
  <c r="A1039" i="4"/>
  <c r="D1038" i="4"/>
  <c r="A1038" i="4"/>
  <c r="D1037" i="4"/>
  <c r="A1037" i="4"/>
  <c r="D1036" i="4"/>
  <c r="A1036" i="4"/>
  <c r="D1035" i="4"/>
  <c r="A1035" i="4"/>
  <c r="D1034" i="4"/>
  <c r="A1034" i="4"/>
  <c r="D1033" i="4"/>
  <c r="A1033" i="4"/>
  <c r="D1032" i="4"/>
  <c r="A1032" i="4"/>
  <c r="D1031" i="4"/>
  <c r="A1031" i="4"/>
  <c r="D1030" i="4"/>
  <c r="A1030" i="4"/>
  <c r="D1029" i="4"/>
  <c r="A1029" i="4"/>
  <c r="D1028" i="4"/>
  <c r="A1028" i="4"/>
  <c r="D1027" i="4"/>
  <c r="A1027" i="4"/>
  <c r="D1026" i="4"/>
  <c r="A1026" i="4"/>
  <c r="D1025" i="4"/>
  <c r="A1025" i="4"/>
  <c r="D1024" i="4"/>
  <c r="A1024" i="4"/>
  <c r="D1023" i="4"/>
  <c r="A1023" i="4"/>
  <c r="D1022" i="4"/>
  <c r="A1022" i="4"/>
  <c r="D1021" i="4"/>
  <c r="A1021" i="4"/>
  <c r="D1020" i="4"/>
  <c r="A1020" i="4"/>
  <c r="D1019" i="4"/>
  <c r="A1019" i="4"/>
  <c r="D1018" i="4"/>
  <c r="A1018" i="4"/>
  <c r="D1017" i="4"/>
  <c r="A1017" i="4"/>
  <c r="D1016" i="4"/>
  <c r="A1016" i="4"/>
  <c r="D1015" i="4"/>
  <c r="A1015" i="4"/>
  <c r="D1014" i="4"/>
  <c r="A1014" i="4"/>
  <c r="D1013" i="4"/>
  <c r="A1013" i="4"/>
  <c r="D1012" i="4"/>
  <c r="A1012" i="4"/>
  <c r="D1011" i="4"/>
  <c r="A1011" i="4"/>
  <c r="D1010" i="4"/>
  <c r="A1010" i="4"/>
  <c r="D1009" i="4"/>
  <c r="A1009" i="4"/>
  <c r="D1008" i="4"/>
  <c r="A1008" i="4"/>
  <c r="D1007" i="4"/>
  <c r="A1007" i="4"/>
  <c r="D1006" i="4"/>
  <c r="A1006" i="4"/>
  <c r="D1005" i="4"/>
  <c r="A1005" i="4"/>
  <c r="D1004" i="4"/>
  <c r="A1004" i="4"/>
  <c r="D1003" i="4"/>
  <c r="A1003" i="4"/>
  <c r="D1002" i="4"/>
  <c r="A1002" i="4"/>
  <c r="D1001" i="4"/>
  <c r="A1001" i="4"/>
  <c r="D1000" i="4"/>
  <c r="A1000" i="4"/>
  <c r="D999" i="4"/>
  <c r="A999" i="4"/>
  <c r="D998" i="4"/>
  <c r="A998" i="4"/>
  <c r="D997" i="4"/>
  <c r="A997" i="4"/>
  <c r="D996" i="4"/>
  <c r="A996" i="4"/>
  <c r="D995" i="4"/>
  <c r="A995" i="4"/>
  <c r="D994" i="4"/>
  <c r="A994" i="4"/>
  <c r="D993" i="4"/>
  <c r="A993" i="4"/>
  <c r="D992" i="4"/>
  <c r="A992" i="4"/>
  <c r="D991" i="4"/>
  <c r="A991" i="4"/>
  <c r="D990" i="4"/>
  <c r="A990" i="4"/>
  <c r="D989" i="4"/>
  <c r="A989" i="4"/>
  <c r="D988" i="4"/>
  <c r="A988" i="4"/>
  <c r="D987" i="4"/>
  <c r="A987" i="4"/>
  <c r="D986" i="4"/>
  <c r="A986" i="4"/>
  <c r="D985" i="4"/>
  <c r="A985" i="4"/>
  <c r="D984" i="4"/>
  <c r="A984" i="4"/>
  <c r="D983" i="4"/>
  <c r="A983" i="4"/>
  <c r="D982" i="4"/>
  <c r="A982" i="4"/>
  <c r="D981" i="4"/>
  <c r="A981" i="4"/>
  <c r="D980" i="4"/>
  <c r="A980" i="4"/>
  <c r="D979" i="4"/>
  <c r="A979" i="4"/>
  <c r="D978" i="4"/>
  <c r="A978" i="4"/>
  <c r="D977" i="4"/>
  <c r="A977" i="4"/>
  <c r="D976" i="4"/>
  <c r="A976" i="4"/>
  <c r="D975" i="4"/>
  <c r="A975" i="4"/>
  <c r="D974" i="4"/>
  <c r="A974" i="4"/>
  <c r="D973" i="4"/>
  <c r="A973" i="4"/>
  <c r="D972" i="4"/>
  <c r="A972" i="4"/>
  <c r="D971" i="4"/>
  <c r="A971" i="4"/>
  <c r="D970" i="4"/>
  <c r="A970" i="4"/>
  <c r="D969" i="4"/>
  <c r="A969" i="4"/>
  <c r="D968" i="4"/>
  <c r="A968" i="4"/>
  <c r="D967" i="4"/>
  <c r="A967" i="4"/>
  <c r="D966" i="4"/>
  <c r="A966" i="4"/>
  <c r="D965" i="4"/>
  <c r="A965" i="4"/>
  <c r="D964" i="4"/>
  <c r="A964" i="4"/>
  <c r="D963" i="4"/>
  <c r="A963" i="4"/>
  <c r="D962" i="4"/>
  <c r="A962" i="4"/>
  <c r="D961" i="4"/>
  <c r="A961" i="4"/>
  <c r="D960" i="4"/>
  <c r="A960" i="4"/>
  <c r="D959" i="4"/>
  <c r="A959" i="4"/>
  <c r="D958" i="4"/>
  <c r="A958" i="4"/>
  <c r="D957" i="4"/>
  <c r="A957" i="4"/>
  <c r="D956" i="4"/>
  <c r="A956" i="4"/>
  <c r="D955" i="4"/>
  <c r="A955" i="4"/>
  <c r="D954" i="4"/>
  <c r="A954" i="4"/>
  <c r="D953" i="4"/>
  <c r="A953" i="4"/>
  <c r="D952" i="4"/>
  <c r="A952" i="4"/>
  <c r="D951" i="4"/>
  <c r="A951" i="4"/>
  <c r="D950" i="4"/>
  <c r="A950" i="4"/>
  <c r="D949" i="4"/>
  <c r="A949" i="4"/>
  <c r="D948" i="4"/>
  <c r="A948" i="4"/>
  <c r="D947" i="4"/>
  <c r="A947" i="4"/>
  <c r="D946" i="4"/>
  <c r="A946" i="4"/>
  <c r="D945" i="4"/>
  <c r="A945" i="4"/>
  <c r="D944" i="4"/>
  <c r="A944" i="4"/>
  <c r="D943" i="4"/>
  <c r="A943" i="4"/>
  <c r="D942" i="4"/>
  <c r="A942" i="4"/>
  <c r="D941" i="4"/>
  <c r="A941" i="4"/>
  <c r="D940" i="4"/>
  <c r="A940" i="4"/>
  <c r="D939" i="4"/>
  <c r="A939" i="4"/>
  <c r="D938" i="4"/>
  <c r="A938" i="4"/>
  <c r="D937" i="4"/>
  <c r="A937" i="4"/>
  <c r="D936" i="4"/>
  <c r="A936" i="4"/>
  <c r="D935" i="4"/>
  <c r="A935" i="4"/>
  <c r="D934" i="4"/>
  <c r="A934" i="4"/>
  <c r="D933" i="4"/>
  <c r="A933" i="4"/>
  <c r="D932" i="4"/>
  <c r="A932" i="4"/>
  <c r="D931" i="4"/>
  <c r="A931" i="4"/>
  <c r="D930" i="4"/>
  <c r="A930" i="4"/>
  <c r="D929" i="4"/>
  <c r="A929" i="4"/>
  <c r="D928" i="4"/>
  <c r="A928" i="4"/>
  <c r="D927" i="4"/>
  <c r="A927" i="4"/>
  <c r="D926" i="4"/>
  <c r="A926" i="4"/>
  <c r="D925" i="4"/>
  <c r="A925" i="4"/>
  <c r="D924" i="4"/>
  <c r="A924" i="4"/>
  <c r="D923" i="4"/>
  <c r="A923" i="4"/>
  <c r="D922" i="4"/>
  <c r="A922" i="4"/>
  <c r="D921" i="4"/>
  <c r="A921" i="4"/>
  <c r="D920" i="4"/>
  <c r="A920" i="4"/>
  <c r="D919" i="4"/>
  <c r="A919" i="4"/>
  <c r="D918" i="4"/>
  <c r="A918" i="4"/>
  <c r="D917" i="4"/>
  <c r="A917" i="4"/>
  <c r="D916" i="4"/>
  <c r="A916" i="4"/>
  <c r="D915" i="4"/>
  <c r="A915" i="4"/>
  <c r="D914" i="4"/>
  <c r="A914" i="4"/>
  <c r="D913" i="4"/>
  <c r="A913" i="4"/>
  <c r="D912" i="4"/>
  <c r="A912" i="4"/>
  <c r="D911" i="4"/>
  <c r="A911" i="4"/>
  <c r="D910" i="4"/>
  <c r="A910" i="4"/>
  <c r="D909" i="4"/>
  <c r="A909" i="4"/>
  <c r="D908" i="4"/>
  <c r="A908" i="4"/>
  <c r="D907" i="4"/>
  <c r="A907" i="4"/>
  <c r="D906" i="4"/>
  <c r="A906" i="4"/>
  <c r="D905" i="4"/>
  <c r="A905" i="4"/>
  <c r="D904" i="4"/>
  <c r="A904" i="4"/>
  <c r="D903" i="4"/>
  <c r="A903" i="4"/>
  <c r="D902" i="4"/>
  <c r="A902" i="4"/>
  <c r="D901" i="4"/>
  <c r="A901" i="4"/>
  <c r="D900" i="4"/>
  <c r="A900" i="4"/>
  <c r="D899" i="4"/>
  <c r="A899" i="4"/>
  <c r="D898" i="4"/>
  <c r="A898" i="4"/>
  <c r="D897" i="4"/>
  <c r="A897" i="4"/>
  <c r="D896" i="4"/>
  <c r="A896" i="4"/>
  <c r="D895" i="4"/>
  <c r="A895" i="4"/>
  <c r="D894" i="4"/>
  <c r="A894" i="4"/>
  <c r="D893" i="4"/>
  <c r="A893" i="4"/>
  <c r="D892" i="4"/>
  <c r="A892" i="4"/>
  <c r="D891" i="4"/>
  <c r="A891" i="4"/>
  <c r="D890" i="4"/>
  <c r="A890" i="4"/>
  <c r="D889" i="4"/>
  <c r="A889" i="4"/>
  <c r="D888" i="4"/>
  <c r="A888" i="4"/>
  <c r="D887" i="4"/>
  <c r="A887" i="4"/>
  <c r="D886" i="4"/>
  <c r="A886" i="4"/>
  <c r="D885" i="4"/>
  <c r="A885" i="4"/>
  <c r="D884" i="4"/>
  <c r="A884" i="4"/>
  <c r="D883" i="4"/>
  <c r="A883" i="4"/>
  <c r="D882" i="4"/>
  <c r="A882" i="4"/>
  <c r="D881" i="4"/>
  <c r="A881" i="4"/>
  <c r="D880" i="4"/>
  <c r="A880" i="4"/>
  <c r="D879" i="4"/>
  <c r="A879" i="4"/>
  <c r="D878" i="4"/>
  <c r="A878" i="4"/>
  <c r="D877" i="4"/>
  <c r="A877" i="4"/>
  <c r="D876" i="4"/>
  <c r="A876" i="4"/>
  <c r="D875" i="4"/>
  <c r="A875" i="4"/>
  <c r="D874" i="4"/>
  <c r="A874" i="4"/>
  <c r="D873" i="4"/>
  <c r="A873" i="4"/>
  <c r="D872" i="4"/>
  <c r="A872" i="4"/>
  <c r="D871" i="4"/>
  <c r="A871" i="4"/>
  <c r="D870" i="4"/>
  <c r="A870" i="4"/>
  <c r="D869" i="4"/>
  <c r="A869" i="4"/>
  <c r="D868" i="4"/>
  <c r="A868" i="4"/>
  <c r="D867" i="4"/>
  <c r="A867" i="4"/>
  <c r="D866" i="4"/>
  <c r="A866" i="4"/>
  <c r="D865" i="4"/>
  <c r="A865" i="4"/>
  <c r="D864" i="4"/>
  <c r="A864" i="4"/>
  <c r="D863" i="4"/>
  <c r="A863" i="4"/>
  <c r="D862" i="4"/>
  <c r="A862" i="4"/>
  <c r="D861" i="4"/>
  <c r="A861" i="4"/>
  <c r="D860" i="4"/>
  <c r="A860" i="4"/>
  <c r="D859" i="4"/>
  <c r="A859" i="4"/>
  <c r="D858" i="4"/>
  <c r="A858" i="4"/>
  <c r="D857" i="4"/>
  <c r="A857" i="4"/>
  <c r="D856" i="4"/>
  <c r="A856" i="4"/>
  <c r="D855" i="4"/>
  <c r="A855" i="4"/>
  <c r="D854" i="4"/>
  <c r="A854" i="4"/>
  <c r="D853" i="4"/>
  <c r="A853" i="4"/>
  <c r="D852" i="4"/>
  <c r="A852" i="4"/>
  <c r="D851" i="4"/>
  <c r="A851" i="4"/>
  <c r="D850" i="4"/>
  <c r="A850" i="4"/>
  <c r="D849" i="4"/>
  <c r="A849" i="4"/>
  <c r="D848" i="4"/>
  <c r="A848" i="4"/>
  <c r="D847" i="4"/>
  <c r="A847" i="4"/>
  <c r="D846" i="4"/>
  <c r="A846" i="4"/>
  <c r="D845" i="4"/>
  <c r="A845" i="4"/>
  <c r="D844" i="4"/>
  <c r="A844" i="4"/>
  <c r="D843" i="4"/>
  <c r="A843" i="4"/>
  <c r="D842" i="4"/>
  <c r="A842" i="4"/>
  <c r="D841" i="4"/>
  <c r="A841" i="4"/>
  <c r="D840" i="4"/>
  <c r="A840" i="4"/>
  <c r="D839" i="4"/>
  <c r="A839" i="4"/>
  <c r="D838" i="4"/>
  <c r="A838" i="4"/>
  <c r="D837" i="4"/>
  <c r="A837" i="4"/>
  <c r="D836" i="4"/>
  <c r="A836" i="4"/>
  <c r="D835" i="4"/>
  <c r="A835" i="4"/>
  <c r="D834" i="4"/>
  <c r="A834" i="4"/>
  <c r="D833" i="4"/>
  <c r="A833" i="4"/>
  <c r="D832" i="4"/>
  <c r="A832" i="4"/>
  <c r="D831" i="4"/>
  <c r="A831" i="4"/>
  <c r="D830" i="4"/>
  <c r="A830" i="4"/>
  <c r="D829" i="4"/>
  <c r="A829" i="4"/>
  <c r="D828" i="4"/>
  <c r="A828" i="4"/>
  <c r="D827" i="4"/>
  <c r="A827" i="4"/>
  <c r="D826" i="4"/>
  <c r="A826" i="4"/>
  <c r="D825" i="4"/>
  <c r="A825" i="4"/>
  <c r="D824" i="4"/>
  <c r="A824" i="4"/>
  <c r="D823" i="4"/>
  <c r="A823" i="4"/>
  <c r="D822" i="4"/>
  <c r="A822" i="4"/>
  <c r="D821" i="4"/>
  <c r="A821" i="4"/>
  <c r="D820" i="4"/>
  <c r="A820" i="4"/>
  <c r="D819" i="4"/>
  <c r="A819" i="4"/>
  <c r="D818" i="4"/>
  <c r="A818" i="4"/>
  <c r="D817" i="4"/>
  <c r="A817" i="4"/>
  <c r="D816" i="4"/>
  <c r="A816" i="4"/>
  <c r="D815" i="4"/>
  <c r="A815" i="4"/>
  <c r="D814" i="4"/>
  <c r="A814" i="4"/>
  <c r="D813" i="4"/>
  <c r="A813" i="4"/>
  <c r="D812" i="4"/>
  <c r="A812" i="4"/>
  <c r="D811" i="4"/>
  <c r="A811" i="4"/>
  <c r="D810" i="4"/>
  <c r="A810" i="4"/>
  <c r="D809" i="4"/>
  <c r="A809" i="4"/>
  <c r="D808" i="4"/>
  <c r="A808" i="4"/>
  <c r="D807" i="4"/>
  <c r="A807" i="4"/>
  <c r="D806" i="4"/>
  <c r="A806" i="4"/>
  <c r="D805" i="4"/>
  <c r="A805" i="4"/>
  <c r="D804" i="4"/>
  <c r="A804" i="4"/>
  <c r="D803" i="4"/>
  <c r="A803" i="4"/>
  <c r="D802" i="4"/>
  <c r="A802" i="4"/>
  <c r="D801" i="4"/>
  <c r="A801" i="4"/>
  <c r="D800" i="4"/>
  <c r="A800" i="4"/>
  <c r="D799" i="4"/>
  <c r="A799" i="4"/>
  <c r="D798" i="4"/>
  <c r="A798" i="4"/>
  <c r="D797" i="4"/>
  <c r="A797" i="4"/>
  <c r="D796" i="4"/>
  <c r="A796" i="4"/>
  <c r="D795" i="4"/>
  <c r="A795" i="4"/>
  <c r="D794" i="4"/>
  <c r="A794" i="4"/>
  <c r="D793" i="4"/>
  <c r="A793" i="4"/>
  <c r="D792" i="4"/>
  <c r="A792" i="4"/>
  <c r="D791" i="4"/>
  <c r="A791" i="4"/>
  <c r="D790" i="4"/>
  <c r="A790" i="4"/>
  <c r="D789" i="4"/>
  <c r="A789" i="4"/>
  <c r="D788" i="4"/>
  <c r="A788" i="4"/>
  <c r="D787" i="4"/>
  <c r="A787" i="4"/>
  <c r="D786" i="4"/>
  <c r="A786" i="4"/>
  <c r="D785" i="4"/>
  <c r="A785" i="4"/>
  <c r="D784" i="4"/>
  <c r="A784" i="4"/>
  <c r="D783" i="4"/>
  <c r="A783" i="4"/>
  <c r="D782" i="4"/>
  <c r="A782" i="4"/>
  <c r="D781" i="4"/>
  <c r="A781" i="4"/>
  <c r="D780" i="4"/>
  <c r="A780" i="4"/>
  <c r="D779" i="4"/>
  <c r="A779" i="4"/>
  <c r="D778" i="4"/>
  <c r="A778" i="4"/>
  <c r="D777" i="4"/>
  <c r="A777" i="4"/>
  <c r="D776" i="4"/>
  <c r="A776" i="4"/>
  <c r="D775" i="4"/>
  <c r="A775" i="4"/>
  <c r="D774" i="4"/>
  <c r="A774" i="4"/>
  <c r="D773" i="4"/>
  <c r="A773" i="4"/>
  <c r="D772" i="4"/>
  <c r="A772" i="4"/>
  <c r="D771" i="4"/>
  <c r="A771" i="4"/>
  <c r="D770" i="4"/>
  <c r="A770" i="4"/>
  <c r="D769" i="4"/>
  <c r="A769" i="4"/>
  <c r="D768" i="4"/>
  <c r="A768" i="4"/>
  <c r="D767" i="4"/>
  <c r="A767" i="4"/>
  <c r="D766" i="4"/>
  <c r="A766" i="4"/>
  <c r="D765" i="4"/>
  <c r="A765" i="4"/>
  <c r="D764" i="4"/>
  <c r="A764" i="4"/>
  <c r="D763" i="4"/>
  <c r="A763" i="4"/>
  <c r="D762" i="4"/>
  <c r="A762" i="4"/>
  <c r="D761" i="4"/>
  <c r="A761" i="4"/>
  <c r="D760" i="4"/>
  <c r="A760" i="4"/>
  <c r="D759" i="4"/>
  <c r="A759" i="4"/>
  <c r="D758" i="4"/>
  <c r="A758" i="4"/>
  <c r="D757" i="4"/>
  <c r="A757" i="4"/>
  <c r="D756" i="4"/>
  <c r="A756" i="4"/>
  <c r="D755" i="4"/>
  <c r="A755" i="4"/>
  <c r="D754" i="4"/>
  <c r="A754" i="4"/>
  <c r="D753" i="4"/>
  <c r="A753" i="4"/>
  <c r="D752" i="4"/>
  <c r="A752" i="4"/>
  <c r="D751" i="4"/>
  <c r="A751" i="4"/>
  <c r="D750" i="4"/>
  <c r="A750" i="4"/>
  <c r="D749" i="4"/>
  <c r="A749" i="4"/>
  <c r="D748" i="4"/>
  <c r="A748" i="4"/>
  <c r="D747" i="4"/>
  <c r="A747" i="4"/>
  <c r="D746" i="4"/>
  <c r="A746" i="4"/>
  <c r="D745" i="4"/>
  <c r="A745" i="4"/>
  <c r="D744" i="4"/>
  <c r="A744" i="4"/>
  <c r="D743" i="4"/>
  <c r="A743" i="4"/>
  <c r="D742" i="4"/>
  <c r="A742" i="4"/>
  <c r="D741" i="4"/>
  <c r="A741" i="4"/>
  <c r="D740" i="4"/>
  <c r="A740" i="4"/>
  <c r="D739" i="4"/>
  <c r="A739" i="4"/>
  <c r="D738" i="4"/>
  <c r="A738" i="4"/>
  <c r="D737" i="4"/>
  <c r="A737" i="4"/>
  <c r="D736" i="4"/>
  <c r="A736" i="4"/>
  <c r="D735" i="4"/>
  <c r="A735" i="4"/>
  <c r="D734" i="4"/>
  <c r="A734" i="4"/>
  <c r="D733" i="4"/>
  <c r="A733" i="4"/>
  <c r="D732" i="4"/>
  <c r="A732" i="4"/>
  <c r="D731" i="4"/>
  <c r="A731" i="4"/>
  <c r="D730" i="4"/>
  <c r="A730" i="4"/>
  <c r="D729" i="4"/>
  <c r="A729" i="4"/>
  <c r="D728" i="4"/>
  <c r="A728" i="4"/>
  <c r="D727" i="4"/>
  <c r="A727" i="4"/>
  <c r="D726" i="4"/>
  <c r="A726" i="4"/>
  <c r="D725" i="4"/>
  <c r="A725" i="4"/>
  <c r="D724" i="4"/>
  <c r="A724" i="4"/>
  <c r="D723" i="4"/>
  <c r="A723" i="4"/>
  <c r="D722" i="4"/>
  <c r="A722" i="4"/>
  <c r="D721" i="4"/>
  <c r="A721" i="4"/>
  <c r="D720" i="4"/>
  <c r="A720" i="4"/>
  <c r="D719" i="4"/>
  <c r="A719" i="4"/>
  <c r="D718" i="4"/>
  <c r="A718" i="4"/>
  <c r="D717" i="4"/>
  <c r="A717" i="4"/>
  <c r="D716" i="4"/>
  <c r="A716" i="4"/>
  <c r="D715" i="4"/>
  <c r="A715" i="4"/>
  <c r="D714" i="4"/>
  <c r="A714" i="4"/>
  <c r="D713" i="4"/>
  <c r="A713" i="4"/>
  <c r="D712" i="4"/>
  <c r="A712" i="4"/>
  <c r="D711" i="4"/>
  <c r="A711" i="4"/>
  <c r="D710" i="4"/>
  <c r="A710" i="4"/>
  <c r="D709" i="4"/>
  <c r="A709" i="4"/>
  <c r="D708" i="4"/>
  <c r="A708" i="4"/>
  <c r="D707" i="4"/>
  <c r="A707" i="4"/>
  <c r="D706" i="4"/>
  <c r="A706" i="4"/>
  <c r="D705" i="4"/>
  <c r="A705" i="4"/>
  <c r="D704" i="4"/>
  <c r="A704" i="4"/>
  <c r="D703" i="4"/>
  <c r="A703" i="4"/>
  <c r="D702" i="4"/>
  <c r="A702" i="4"/>
  <c r="D701" i="4"/>
  <c r="A701" i="4"/>
  <c r="D700" i="4"/>
  <c r="A700" i="4"/>
  <c r="D699" i="4"/>
  <c r="A699" i="4"/>
  <c r="D698" i="4"/>
  <c r="A698" i="4"/>
  <c r="D697" i="4"/>
  <c r="A697" i="4"/>
  <c r="D696" i="4"/>
  <c r="A696" i="4"/>
  <c r="D695" i="4"/>
  <c r="A695" i="4"/>
  <c r="D694" i="4"/>
  <c r="A694" i="4"/>
  <c r="D693" i="4"/>
  <c r="A693" i="4"/>
  <c r="D692" i="4"/>
  <c r="A692" i="4"/>
  <c r="D691" i="4"/>
  <c r="A691" i="4"/>
  <c r="D690" i="4"/>
  <c r="A690" i="4"/>
  <c r="D689" i="4"/>
  <c r="A689" i="4"/>
  <c r="D688" i="4"/>
  <c r="A688" i="4"/>
  <c r="D687" i="4"/>
  <c r="A687" i="4"/>
  <c r="D686" i="4"/>
  <c r="A686" i="4"/>
  <c r="D685" i="4"/>
  <c r="A685" i="4"/>
  <c r="D684" i="4"/>
  <c r="A684" i="4"/>
  <c r="D683" i="4"/>
  <c r="A683" i="4"/>
  <c r="D682" i="4"/>
  <c r="A682" i="4"/>
  <c r="D681" i="4"/>
  <c r="A681" i="4"/>
  <c r="D680" i="4"/>
  <c r="A680" i="4"/>
  <c r="D679" i="4"/>
  <c r="A679" i="4"/>
  <c r="D678" i="4"/>
  <c r="A678" i="4"/>
  <c r="D677" i="4"/>
  <c r="A677" i="4"/>
  <c r="D676" i="4"/>
  <c r="A676" i="4"/>
  <c r="D675" i="4"/>
  <c r="A675" i="4"/>
  <c r="D674" i="4"/>
  <c r="A674" i="4"/>
  <c r="D673" i="4"/>
  <c r="A673" i="4"/>
  <c r="D672" i="4"/>
  <c r="A672" i="4"/>
  <c r="D671" i="4"/>
  <c r="A671" i="4"/>
  <c r="D670" i="4"/>
  <c r="A670" i="4"/>
  <c r="D669" i="4"/>
  <c r="A669" i="4"/>
  <c r="D668" i="4"/>
  <c r="A668" i="4"/>
  <c r="D667" i="4"/>
  <c r="A667" i="4"/>
  <c r="D666" i="4"/>
  <c r="A666" i="4"/>
  <c r="D665" i="4"/>
  <c r="A665" i="4"/>
  <c r="D664" i="4"/>
  <c r="A664" i="4"/>
  <c r="D663" i="4"/>
  <c r="A663" i="4"/>
  <c r="D662" i="4"/>
  <c r="A662" i="4"/>
  <c r="D661" i="4"/>
  <c r="A661" i="4"/>
  <c r="D660" i="4"/>
  <c r="A660" i="4"/>
  <c r="D659" i="4"/>
  <c r="A659" i="4"/>
  <c r="D658" i="4"/>
  <c r="A658" i="4"/>
  <c r="D657" i="4"/>
  <c r="A657" i="4"/>
  <c r="D656" i="4"/>
  <c r="A656" i="4"/>
  <c r="D655" i="4"/>
  <c r="A655" i="4"/>
  <c r="D654" i="4"/>
  <c r="A654" i="4"/>
  <c r="D653" i="4"/>
  <c r="A653" i="4"/>
  <c r="D652" i="4"/>
  <c r="A652" i="4"/>
  <c r="D651" i="4"/>
  <c r="A651" i="4"/>
  <c r="D650" i="4"/>
  <c r="A650" i="4"/>
  <c r="D649" i="4"/>
  <c r="A649" i="4"/>
  <c r="D648" i="4"/>
  <c r="A648" i="4"/>
  <c r="D647" i="4"/>
  <c r="A647" i="4"/>
  <c r="D646" i="4"/>
  <c r="A646" i="4"/>
  <c r="D645" i="4"/>
  <c r="A645" i="4"/>
  <c r="D644" i="4"/>
  <c r="A644" i="4"/>
  <c r="D643" i="4"/>
  <c r="A643" i="4"/>
  <c r="D642" i="4"/>
  <c r="A642" i="4"/>
  <c r="D641" i="4"/>
  <c r="A641" i="4"/>
  <c r="D640" i="4"/>
  <c r="A640" i="4"/>
  <c r="D639" i="4"/>
  <c r="A639" i="4"/>
  <c r="D638" i="4"/>
  <c r="A638" i="4"/>
  <c r="D637" i="4"/>
  <c r="A637" i="4"/>
  <c r="D636" i="4"/>
  <c r="A636" i="4"/>
  <c r="D635" i="4"/>
  <c r="A635" i="4"/>
  <c r="D634" i="4"/>
  <c r="A634" i="4"/>
  <c r="D633" i="4"/>
  <c r="A633" i="4"/>
  <c r="D632" i="4"/>
  <c r="A632" i="4"/>
  <c r="D631" i="4"/>
  <c r="A631" i="4"/>
  <c r="D630" i="4"/>
  <c r="A630" i="4"/>
  <c r="D629" i="4"/>
  <c r="A629" i="4"/>
  <c r="D628" i="4"/>
  <c r="A628" i="4"/>
  <c r="D627" i="4"/>
  <c r="A627" i="4"/>
  <c r="D626" i="4"/>
  <c r="A626" i="4"/>
  <c r="D625" i="4"/>
  <c r="A625" i="4"/>
  <c r="D624" i="4"/>
  <c r="A624" i="4"/>
  <c r="D623" i="4"/>
  <c r="A623" i="4"/>
  <c r="D622" i="4"/>
  <c r="A622" i="4"/>
  <c r="D621" i="4"/>
  <c r="A621" i="4"/>
  <c r="D620" i="4"/>
  <c r="A620" i="4"/>
  <c r="D619" i="4"/>
  <c r="A619" i="4"/>
  <c r="D618" i="4"/>
  <c r="A618" i="4"/>
  <c r="D617" i="4"/>
  <c r="A617" i="4"/>
  <c r="D616" i="4"/>
  <c r="A616" i="4"/>
  <c r="D615" i="4"/>
  <c r="A615" i="4"/>
  <c r="D614" i="4"/>
  <c r="A614" i="4"/>
  <c r="D613" i="4"/>
  <c r="A613" i="4"/>
  <c r="D612" i="4"/>
  <c r="A612" i="4"/>
  <c r="D611" i="4"/>
  <c r="A611" i="4"/>
  <c r="D610" i="4"/>
  <c r="A610" i="4"/>
  <c r="D609" i="4"/>
  <c r="A609" i="4"/>
  <c r="D608" i="4"/>
  <c r="A608" i="4"/>
  <c r="D607" i="4"/>
  <c r="A607" i="4"/>
  <c r="D606" i="4"/>
  <c r="A606" i="4"/>
  <c r="D605" i="4"/>
  <c r="A605" i="4"/>
  <c r="D604" i="4"/>
  <c r="A604" i="4"/>
  <c r="D603" i="4"/>
  <c r="A603" i="4"/>
  <c r="D602" i="4"/>
  <c r="A602" i="4"/>
  <c r="D601" i="4"/>
  <c r="A601" i="4"/>
  <c r="D600" i="4"/>
  <c r="A600" i="4"/>
  <c r="D599" i="4"/>
  <c r="A599" i="4"/>
  <c r="D598" i="4"/>
  <c r="A598" i="4"/>
  <c r="D597" i="4"/>
  <c r="A597" i="4"/>
  <c r="D596" i="4"/>
  <c r="A596" i="4"/>
  <c r="D595" i="4"/>
  <c r="A595" i="4"/>
  <c r="D594" i="4"/>
  <c r="A594" i="4"/>
  <c r="D593" i="4"/>
  <c r="A593" i="4"/>
  <c r="D592" i="4"/>
  <c r="A592" i="4"/>
  <c r="D591" i="4"/>
  <c r="A591" i="4"/>
  <c r="D590" i="4"/>
  <c r="A590" i="4"/>
  <c r="D589" i="4"/>
  <c r="A589" i="4"/>
  <c r="D588" i="4"/>
  <c r="A588" i="4"/>
  <c r="D587" i="4"/>
  <c r="A587" i="4"/>
  <c r="D586" i="4"/>
  <c r="A586" i="4"/>
  <c r="D585" i="4"/>
  <c r="A585" i="4"/>
  <c r="D584" i="4"/>
  <c r="A584" i="4"/>
  <c r="D583" i="4"/>
  <c r="A583" i="4"/>
  <c r="D582" i="4"/>
  <c r="A582" i="4"/>
  <c r="D581" i="4"/>
  <c r="A581" i="4"/>
  <c r="D580" i="4"/>
  <c r="A580" i="4"/>
  <c r="D579" i="4"/>
  <c r="A579" i="4"/>
  <c r="D578" i="4"/>
  <c r="A578" i="4"/>
  <c r="D577" i="4"/>
  <c r="A577" i="4"/>
  <c r="D576" i="4"/>
  <c r="A576" i="4"/>
  <c r="D575" i="4"/>
  <c r="A575" i="4"/>
  <c r="D574" i="4"/>
  <c r="A574" i="4"/>
  <c r="D573" i="4"/>
  <c r="A573" i="4"/>
  <c r="D572" i="4"/>
  <c r="A572" i="4"/>
  <c r="D571" i="4"/>
  <c r="A571" i="4"/>
  <c r="D570" i="4"/>
  <c r="A570" i="4"/>
  <c r="D569" i="4"/>
  <c r="A569" i="4"/>
  <c r="D568" i="4"/>
  <c r="A568" i="4"/>
  <c r="D567" i="4"/>
  <c r="A567" i="4"/>
  <c r="D566" i="4"/>
  <c r="A566" i="4"/>
  <c r="D565" i="4"/>
  <c r="A565" i="4"/>
  <c r="D564" i="4"/>
  <c r="A564" i="4"/>
  <c r="D563" i="4"/>
  <c r="A563" i="4"/>
  <c r="D562" i="4"/>
  <c r="A562" i="4"/>
  <c r="D561" i="4"/>
  <c r="A561" i="4"/>
  <c r="D560" i="4"/>
  <c r="A560" i="4"/>
  <c r="D559" i="4"/>
  <c r="A559" i="4"/>
  <c r="D558" i="4"/>
  <c r="A558" i="4"/>
  <c r="D557" i="4"/>
  <c r="A557" i="4"/>
  <c r="D556" i="4"/>
  <c r="A556" i="4"/>
  <c r="D555" i="4"/>
  <c r="A555" i="4"/>
  <c r="D554" i="4"/>
  <c r="A554" i="4"/>
  <c r="D553" i="4"/>
  <c r="A553" i="4"/>
  <c r="D552" i="4"/>
  <c r="A552" i="4"/>
  <c r="D551" i="4"/>
  <c r="A551" i="4"/>
  <c r="D550" i="4"/>
  <c r="A550" i="4"/>
  <c r="D549" i="4"/>
  <c r="A549" i="4"/>
  <c r="D548" i="4"/>
  <c r="A548" i="4"/>
  <c r="D547" i="4"/>
  <c r="A547" i="4"/>
  <c r="D546" i="4"/>
  <c r="A546" i="4"/>
  <c r="D545" i="4"/>
  <c r="A545" i="4"/>
  <c r="D544" i="4"/>
  <c r="A544" i="4"/>
  <c r="D543" i="4"/>
  <c r="A543" i="4"/>
  <c r="D542" i="4"/>
  <c r="A542" i="4"/>
  <c r="D541" i="4"/>
  <c r="A541" i="4"/>
  <c r="D540" i="4"/>
  <c r="A540" i="4"/>
  <c r="D539" i="4"/>
  <c r="A539" i="4"/>
  <c r="D538" i="4"/>
  <c r="A538" i="4"/>
  <c r="D537" i="4"/>
  <c r="A537" i="4"/>
  <c r="D536" i="4"/>
  <c r="A536" i="4"/>
  <c r="D535" i="4"/>
  <c r="A535" i="4"/>
  <c r="D534" i="4"/>
  <c r="A534" i="4"/>
  <c r="D533" i="4"/>
  <c r="A533" i="4"/>
  <c r="D532" i="4"/>
  <c r="A532" i="4"/>
  <c r="D531" i="4"/>
  <c r="A531" i="4"/>
  <c r="D530" i="4"/>
  <c r="A530" i="4"/>
  <c r="D529" i="4"/>
  <c r="A529" i="4"/>
  <c r="D528" i="4"/>
  <c r="A528" i="4"/>
  <c r="D527" i="4"/>
  <c r="A527" i="4"/>
  <c r="D526" i="4"/>
  <c r="A526" i="4"/>
  <c r="D525" i="4"/>
  <c r="A525" i="4"/>
  <c r="D524" i="4"/>
  <c r="A524" i="4"/>
  <c r="D523" i="4"/>
  <c r="A523" i="4"/>
  <c r="D522" i="4"/>
  <c r="A522" i="4"/>
  <c r="D521" i="4"/>
  <c r="A521" i="4"/>
  <c r="D520" i="4"/>
  <c r="A520" i="4"/>
  <c r="D519" i="4"/>
  <c r="A519" i="4"/>
  <c r="D518" i="4"/>
  <c r="A518" i="4"/>
  <c r="D517" i="4"/>
  <c r="A517" i="4"/>
  <c r="D516" i="4"/>
  <c r="A516" i="4"/>
  <c r="D515" i="4"/>
  <c r="A515" i="4"/>
  <c r="D514" i="4"/>
  <c r="A514" i="4"/>
  <c r="D513" i="4"/>
  <c r="A513" i="4"/>
  <c r="D512" i="4"/>
  <c r="A512" i="4"/>
  <c r="D511" i="4"/>
  <c r="A511" i="4"/>
  <c r="D510" i="4"/>
  <c r="A510" i="4"/>
  <c r="D509" i="4"/>
  <c r="A509" i="4"/>
  <c r="D508" i="4"/>
  <c r="A508" i="4"/>
  <c r="D507" i="4"/>
  <c r="A507" i="4"/>
  <c r="D506" i="4"/>
  <c r="A506" i="4"/>
  <c r="D505" i="4"/>
  <c r="A505" i="4"/>
  <c r="D504" i="4"/>
  <c r="A504" i="4"/>
  <c r="D503" i="4"/>
  <c r="A503" i="4"/>
  <c r="D502" i="4"/>
  <c r="A502" i="4"/>
  <c r="D501" i="4"/>
  <c r="A501" i="4"/>
  <c r="D500" i="4"/>
  <c r="A500" i="4"/>
  <c r="D499" i="4"/>
  <c r="A499" i="4"/>
  <c r="D498" i="4"/>
  <c r="A498" i="4"/>
  <c r="D497" i="4"/>
  <c r="A497" i="4"/>
  <c r="D496" i="4"/>
  <c r="A496" i="4"/>
  <c r="D495" i="4"/>
  <c r="A495" i="4"/>
  <c r="D494" i="4"/>
  <c r="A494" i="4"/>
  <c r="D493" i="4"/>
  <c r="A493" i="4"/>
  <c r="D492" i="4"/>
  <c r="A492" i="4"/>
  <c r="D491" i="4"/>
  <c r="A491" i="4"/>
  <c r="D490" i="4"/>
  <c r="A490" i="4"/>
  <c r="D489" i="4"/>
  <c r="A489" i="4"/>
  <c r="D488" i="4"/>
  <c r="A488" i="4"/>
  <c r="D487" i="4"/>
  <c r="A487" i="4"/>
  <c r="D486" i="4"/>
  <c r="A486" i="4"/>
  <c r="D485" i="4"/>
  <c r="A485" i="4"/>
  <c r="D484" i="4"/>
  <c r="A484" i="4"/>
  <c r="D483" i="4"/>
  <c r="A483" i="4"/>
  <c r="D482" i="4"/>
  <c r="A482" i="4"/>
  <c r="D481" i="4"/>
  <c r="A481" i="4"/>
  <c r="D480" i="4"/>
  <c r="A480" i="4"/>
  <c r="D479" i="4"/>
  <c r="A479" i="4"/>
  <c r="D478" i="4"/>
  <c r="A478" i="4"/>
  <c r="D477" i="4"/>
  <c r="A477" i="4"/>
  <c r="D476" i="4"/>
  <c r="A476" i="4"/>
  <c r="D475" i="4"/>
  <c r="A475" i="4"/>
  <c r="D474" i="4"/>
  <c r="A474" i="4"/>
  <c r="D473" i="4"/>
  <c r="A473" i="4"/>
  <c r="D472" i="4"/>
  <c r="A472" i="4"/>
  <c r="D471" i="4"/>
  <c r="A471" i="4"/>
  <c r="D470" i="4"/>
  <c r="A470" i="4"/>
  <c r="D469" i="4"/>
  <c r="A469" i="4"/>
  <c r="D468" i="4"/>
  <c r="A468" i="4"/>
  <c r="D467" i="4"/>
  <c r="A467" i="4"/>
  <c r="D466" i="4"/>
  <c r="A466" i="4"/>
  <c r="D465" i="4"/>
  <c r="A465" i="4"/>
  <c r="D464" i="4"/>
  <c r="A464" i="4"/>
  <c r="D463" i="4"/>
  <c r="A463" i="4"/>
  <c r="D462" i="4"/>
  <c r="A462" i="4"/>
  <c r="D461" i="4"/>
  <c r="A461" i="4"/>
  <c r="D460" i="4"/>
  <c r="A460" i="4"/>
  <c r="D459" i="4"/>
  <c r="A459" i="4"/>
  <c r="D458" i="4"/>
  <c r="A458" i="4"/>
  <c r="D457" i="4"/>
  <c r="A457" i="4"/>
  <c r="D456" i="4"/>
  <c r="A456" i="4"/>
  <c r="D455" i="4"/>
  <c r="A455" i="4"/>
  <c r="D454" i="4"/>
  <c r="A454" i="4"/>
  <c r="D453" i="4"/>
  <c r="A453" i="4"/>
  <c r="D452" i="4"/>
  <c r="A452" i="4"/>
  <c r="D451" i="4"/>
  <c r="A451" i="4"/>
  <c r="D450" i="4"/>
  <c r="A450" i="4"/>
  <c r="D449" i="4"/>
  <c r="A449" i="4"/>
  <c r="D448" i="4"/>
  <c r="A448" i="4"/>
  <c r="D447" i="4"/>
  <c r="A447" i="4"/>
  <c r="D446" i="4"/>
  <c r="A446" i="4"/>
  <c r="D445" i="4"/>
  <c r="A445" i="4"/>
  <c r="D444" i="4"/>
  <c r="A444" i="4"/>
  <c r="D443" i="4"/>
  <c r="A443" i="4"/>
  <c r="D442" i="4"/>
  <c r="A442" i="4"/>
  <c r="D441" i="4"/>
  <c r="A441" i="4"/>
  <c r="D440" i="4"/>
  <c r="A440" i="4"/>
  <c r="D439" i="4"/>
  <c r="A439" i="4"/>
  <c r="D438" i="4"/>
  <c r="A438" i="4"/>
  <c r="D437" i="4"/>
  <c r="A437" i="4"/>
  <c r="D436" i="4"/>
  <c r="A436" i="4"/>
  <c r="D435" i="4"/>
  <c r="A435" i="4"/>
  <c r="D434" i="4"/>
  <c r="A434" i="4"/>
  <c r="D433" i="4"/>
  <c r="A433" i="4"/>
  <c r="D432" i="4"/>
  <c r="A432" i="4"/>
  <c r="D431" i="4"/>
  <c r="A431" i="4"/>
  <c r="D430" i="4"/>
  <c r="A430" i="4"/>
  <c r="D429" i="4"/>
  <c r="A429" i="4"/>
  <c r="D428" i="4"/>
  <c r="A428" i="4"/>
  <c r="D427" i="4"/>
  <c r="A427" i="4"/>
  <c r="D426" i="4"/>
  <c r="A426" i="4"/>
  <c r="D425" i="4"/>
  <c r="A425" i="4"/>
  <c r="D424" i="4"/>
  <c r="A424" i="4"/>
  <c r="D423" i="4"/>
  <c r="A423" i="4"/>
  <c r="D422" i="4"/>
  <c r="A422" i="4"/>
  <c r="D421" i="4"/>
  <c r="A421" i="4"/>
  <c r="D420" i="4"/>
  <c r="A420" i="4"/>
  <c r="D419" i="4"/>
  <c r="A419" i="4"/>
  <c r="D418" i="4"/>
  <c r="A418" i="4"/>
  <c r="D417" i="4"/>
  <c r="A417" i="4"/>
  <c r="D416" i="4"/>
  <c r="A416" i="4"/>
  <c r="D415" i="4"/>
  <c r="A415" i="4"/>
  <c r="D414" i="4"/>
  <c r="A414" i="4"/>
  <c r="D413" i="4"/>
  <c r="A413" i="4"/>
  <c r="D412" i="4"/>
  <c r="A412" i="4"/>
  <c r="D411" i="4"/>
  <c r="A411" i="4"/>
  <c r="D410" i="4"/>
  <c r="A410" i="4"/>
  <c r="D409" i="4"/>
  <c r="A409" i="4"/>
  <c r="D408" i="4"/>
  <c r="A408" i="4"/>
  <c r="D407" i="4"/>
  <c r="A407" i="4"/>
  <c r="D406" i="4"/>
  <c r="A406" i="4"/>
  <c r="D405" i="4"/>
  <c r="A405" i="4"/>
  <c r="D404" i="4"/>
  <c r="A404" i="4"/>
  <c r="D403" i="4"/>
  <c r="A403" i="4"/>
  <c r="D402" i="4"/>
  <c r="A402" i="4"/>
  <c r="D401" i="4"/>
  <c r="A401" i="4"/>
  <c r="D400" i="4"/>
  <c r="A400" i="4"/>
  <c r="D399" i="4"/>
  <c r="A399" i="4"/>
  <c r="D398" i="4"/>
  <c r="A398" i="4"/>
  <c r="D397" i="4"/>
  <c r="A397" i="4"/>
  <c r="D396" i="4"/>
  <c r="A396" i="4"/>
  <c r="D395" i="4"/>
  <c r="A395" i="4"/>
  <c r="D394" i="4"/>
  <c r="A394" i="4"/>
  <c r="D393" i="4"/>
  <c r="A393" i="4"/>
  <c r="D392" i="4"/>
  <c r="A392" i="4"/>
  <c r="D391" i="4"/>
  <c r="A391" i="4"/>
  <c r="D390" i="4"/>
  <c r="A390" i="4"/>
  <c r="D389" i="4"/>
  <c r="A389" i="4"/>
  <c r="D388" i="4"/>
  <c r="A388" i="4"/>
  <c r="D387" i="4"/>
  <c r="A387" i="4"/>
  <c r="D386" i="4"/>
  <c r="A386" i="4"/>
  <c r="D385" i="4"/>
  <c r="A385" i="4"/>
  <c r="D384" i="4"/>
  <c r="A384" i="4"/>
  <c r="D383" i="4"/>
  <c r="A383" i="4"/>
  <c r="D382" i="4"/>
  <c r="A382" i="4"/>
  <c r="D381" i="4"/>
  <c r="A381" i="4"/>
  <c r="D380" i="4"/>
  <c r="A380" i="4"/>
  <c r="D379" i="4"/>
  <c r="A379" i="4"/>
  <c r="D378" i="4"/>
  <c r="A378" i="4"/>
  <c r="D377" i="4"/>
  <c r="A377" i="4"/>
  <c r="D376" i="4"/>
  <c r="A376" i="4"/>
  <c r="D375" i="4"/>
  <c r="A375" i="4"/>
  <c r="D374" i="4"/>
  <c r="A374" i="4"/>
  <c r="D373" i="4"/>
  <c r="A373" i="4"/>
  <c r="D372" i="4"/>
  <c r="A372" i="4"/>
  <c r="D371" i="4"/>
  <c r="A371" i="4"/>
  <c r="D370" i="4"/>
  <c r="A370" i="4"/>
  <c r="D369" i="4"/>
  <c r="A369" i="4"/>
  <c r="D368" i="4"/>
  <c r="A368" i="4"/>
  <c r="D367" i="4"/>
  <c r="A367" i="4"/>
  <c r="D366" i="4"/>
  <c r="A366" i="4"/>
  <c r="D365" i="4"/>
  <c r="A365" i="4"/>
  <c r="D364" i="4"/>
  <c r="A364" i="4"/>
  <c r="D363" i="4"/>
  <c r="A363" i="4"/>
  <c r="D362" i="4"/>
  <c r="A362" i="4"/>
  <c r="D361" i="4"/>
  <c r="A361" i="4"/>
  <c r="D360" i="4"/>
  <c r="A360" i="4"/>
  <c r="D359" i="4"/>
  <c r="A359" i="4"/>
  <c r="D358" i="4"/>
  <c r="A358" i="4"/>
  <c r="D357" i="4"/>
  <c r="A357" i="4"/>
  <c r="D356" i="4"/>
  <c r="A356" i="4"/>
  <c r="D355" i="4"/>
  <c r="A355" i="4"/>
  <c r="D354" i="4"/>
  <c r="A354" i="4"/>
  <c r="D353" i="4"/>
  <c r="A353" i="4"/>
  <c r="D352" i="4"/>
  <c r="A352" i="4"/>
  <c r="D351" i="4"/>
  <c r="A351" i="4"/>
  <c r="D350" i="4"/>
  <c r="A350" i="4"/>
  <c r="D349" i="4"/>
  <c r="A349" i="4"/>
  <c r="D348" i="4"/>
  <c r="A348" i="4"/>
  <c r="D347" i="4"/>
  <c r="A347" i="4"/>
  <c r="D346" i="4"/>
  <c r="A346" i="4"/>
  <c r="D345" i="4"/>
  <c r="A345" i="4"/>
  <c r="D344" i="4"/>
  <c r="A344" i="4"/>
  <c r="D343" i="4"/>
  <c r="A343" i="4"/>
  <c r="D342" i="4"/>
  <c r="A342" i="4"/>
  <c r="D341" i="4"/>
  <c r="A341" i="4"/>
  <c r="D340" i="4"/>
  <c r="A340" i="4"/>
  <c r="D339" i="4"/>
  <c r="A339" i="4"/>
  <c r="D338" i="4"/>
  <c r="A338" i="4"/>
  <c r="D337" i="4"/>
  <c r="A337" i="4"/>
  <c r="D336" i="4"/>
  <c r="A336" i="4"/>
  <c r="D335" i="4"/>
  <c r="A335" i="4"/>
  <c r="D334" i="4"/>
  <c r="A334" i="4"/>
  <c r="D333" i="4"/>
  <c r="A333" i="4"/>
  <c r="D332" i="4"/>
  <c r="A332" i="4"/>
  <c r="D331" i="4"/>
  <c r="A331" i="4"/>
  <c r="D330" i="4"/>
  <c r="A330" i="4"/>
  <c r="D329" i="4"/>
  <c r="A329" i="4"/>
  <c r="D328" i="4"/>
  <c r="A328" i="4"/>
  <c r="D327" i="4"/>
  <c r="A327" i="4"/>
  <c r="D326" i="4"/>
  <c r="A326" i="4"/>
  <c r="D325" i="4"/>
  <c r="A325" i="4"/>
  <c r="D324" i="4"/>
  <c r="A324" i="4"/>
  <c r="D323" i="4"/>
  <c r="A323" i="4"/>
  <c r="D322" i="4"/>
  <c r="A322" i="4"/>
  <c r="D321" i="4"/>
  <c r="A321" i="4"/>
  <c r="D320" i="4"/>
  <c r="A320" i="4"/>
  <c r="D319" i="4"/>
  <c r="A319" i="4"/>
  <c r="D318" i="4"/>
  <c r="A318" i="4"/>
  <c r="D317" i="4"/>
  <c r="A317" i="4"/>
  <c r="D316" i="4"/>
  <c r="A316" i="4"/>
  <c r="D315" i="4"/>
  <c r="A315" i="4"/>
  <c r="D314" i="4"/>
  <c r="A314" i="4"/>
  <c r="D313" i="4"/>
  <c r="A313" i="4"/>
  <c r="D312" i="4"/>
  <c r="A312" i="4"/>
  <c r="D311" i="4"/>
  <c r="A311" i="4"/>
  <c r="D310" i="4"/>
  <c r="A310" i="4"/>
  <c r="D309" i="4"/>
  <c r="A309" i="4"/>
  <c r="D308" i="4"/>
  <c r="A308" i="4"/>
  <c r="D307" i="4"/>
  <c r="A307" i="4"/>
  <c r="D306" i="4"/>
  <c r="A306" i="4"/>
  <c r="D305" i="4"/>
  <c r="A305" i="4"/>
  <c r="D304" i="4"/>
  <c r="A304" i="4"/>
  <c r="D303" i="4"/>
  <c r="A303" i="4"/>
  <c r="D302" i="4"/>
  <c r="A302" i="4"/>
  <c r="D301" i="4"/>
  <c r="A301" i="4"/>
  <c r="D300" i="4"/>
  <c r="A300" i="4"/>
  <c r="D299" i="4"/>
  <c r="A299" i="4"/>
  <c r="D298" i="4"/>
  <c r="A298" i="4"/>
  <c r="D297" i="4"/>
  <c r="A297" i="4"/>
  <c r="D296" i="4"/>
  <c r="A296" i="4"/>
  <c r="D295" i="4"/>
  <c r="A295" i="4"/>
  <c r="D294" i="4"/>
  <c r="A294" i="4"/>
  <c r="D293" i="4"/>
  <c r="A293" i="4"/>
  <c r="D292" i="4"/>
  <c r="A292" i="4"/>
  <c r="D291" i="4"/>
  <c r="A291" i="4"/>
  <c r="D290" i="4"/>
  <c r="A290" i="4"/>
  <c r="D289" i="4"/>
  <c r="A289" i="4"/>
  <c r="D288" i="4"/>
  <c r="A288" i="4"/>
  <c r="D287" i="4"/>
  <c r="A287" i="4"/>
  <c r="D286" i="4"/>
  <c r="A286" i="4"/>
  <c r="D285" i="4"/>
  <c r="A285" i="4"/>
  <c r="D284" i="4"/>
  <c r="A284" i="4"/>
  <c r="D283" i="4"/>
  <c r="A283" i="4"/>
  <c r="D282" i="4"/>
  <c r="A282" i="4"/>
  <c r="D281" i="4"/>
  <c r="A281" i="4"/>
  <c r="D280" i="4"/>
  <c r="A280" i="4"/>
  <c r="D279" i="4"/>
  <c r="A279" i="4"/>
  <c r="D278" i="4"/>
  <c r="A278" i="4"/>
  <c r="D277" i="4"/>
  <c r="A277" i="4"/>
  <c r="D276" i="4"/>
  <c r="A276" i="4"/>
  <c r="D275" i="4"/>
  <c r="A275" i="4"/>
  <c r="D274" i="4"/>
  <c r="A274" i="4"/>
  <c r="D273" i="4"/>
  <c r="A273" i="4"/>
  <c r="D272" i="4"/>
  <c r="A272" i="4"/>
  <c r="D271" i="4"/>
  <c r="A271" i="4"/>
  <c r="D270" i="4"/>
  <c r="A270" i="4"/>
  <c r="D269" i="4"/>
  <c r="A269" i="4"/>
  <c r="D268" i="4"/>
  <c r="A268" i="4"/>
  <c r="D267" i="4"/>
  <c r="A267" i="4"/>
  <c r="D266" i="4"/>
  <c r="A266" i="4"/>
  <c r="D265" i="4"/>
  <c r="A265" i="4"/>
  <c r="D264" i="4"/>
  <c r="A264" i="4"/>
  <c r="D263" i="4"/>
  <c r="A263" i="4"/>
  <c r="D262" i="4"/>
  <c r="A262" i="4"/>
  <c r="D261" i="4"/>
  <c r="A261" i="4"/>
  <c r="D260" i="4"/>
  <c r="A260" i="4"/>
  <c r="D259" i="4"/>
  <c r="A259" i="4"/>
  <c r="D258" i="4"/>
  <c r="A258" i="4"/>
  <c r="D257" i="4"/>
  <c r="A257" i="4"/>
  <c r="D256" i="4"/>
  <c r="A256" i="4"/>
  <c r="D255" i="4"/>
  <c r="A255" i="4"/>
  <c r="D254" i="4"/>
  <c r="A254" i="4"/>
  <c r="D253" i="4"/>
  <c r="A253" i="4"/>
  <c r="D252" i="4"/>
  <c r="A252" i="4"/>
  <c r="D251" i="4"/>
  <c r="A251" i="4"/>
  <c r="D250" i="4"/>
  <c r="A250" i="4"/>
  <c r="D249" i="4"/>
  <c r="A249" i="4"/>
  <c r="D248" i="4"/>
  <c r="A248" i="4"/>
  <c r="D247" i="4"/>
  <c r="A247" i="4"/>
  <c r="D246" i="4"/>
  <c r="A246" i="4"/>
  <c r="D245" i="4"/>
  <c r="A245" i="4"/>
  <c r="D244" i="4"/>
  <c r="A244" i="4"/>
  <c r="D243" i="4"/>
  <c r="A243" i="4"/>
  <c r="D242" i="4"/>
  <c r="A242" i="4"/>
  <c r="D241" i="4"/>
  <c r="A241" i="4"/>
  <c r="D240" i="4"/>
  <c r="A240" i="4"/>
  <c r="D239" i="4"/>
  <c r="A239" i="4"/>
  <c r="D238" i="4"/>
  <c r="A238" i="4"/>
  <c r="D237" i="4"/>
  <c r="A237" i="4"/>
  <c r="D236" i="4"/>
  <c r="A236" i="4"/>
  <c r="D235" i="4"/>
  <c r="A235" i="4"/>
  <c r="D234" i="4"/>
  <c r="A234" i="4"/>
  <c r="D233" i="4"/>
  <c r="A233" i="4"/>
  <c r="D232" i="4"/>
  <c r="A232" i="4"/>
  <c r="D231" i="4"/>
  <c r="A231" i="4"/>
  <c r="D230" i="4"/>
  <c r="A230" i="4"/>
  <c r="D229" i="4"/>
  <c r="A229" i="4"/>
  <c r="D228" i="4"/>
  <c r="A228" i="4"/>
  <c r="D227" i="4"/>
  <c r="A227" i="4"/>
  <c r="D226" i="4"/>
  <c r="A226" i="4"/>
  <c r="D225" i="4"/>
  <c r="A225" i="4"/>
  <c r="D224" i="4"/>
  <c r="A224" i="4"/>
  <c r="D223" i="4"/>
  <c r="A223" i="4"/>
  <c r="D222" i="4"/>
  <c r="A222" i="4"/>
  <c r="D221" i="4"/>
  <c r="A221" i="4"/>
  <c r="D220" i="4"/>
  <c r="A220" i="4"/>
  <c r="D219" i="4"/>
  <c r="A219" i="4"/>
  <c r="D218" i="4"/>
  <c r="A218" i="4"/>
  <c r="D217" i="4"/>
  <c r="A217" i="4"/>
  <c r="D216" i="4"/>
  <c r="A216" i="4"/>
  <c r="D215" i="4"/>
  <c r="A215" i="4"/>
  <c r="D214" i="4"/>
  <c r="A214" i="4"/>
  <c r="D213" i="4"/>
  <c r="A213" i="4"/>
  <c r="D212" i="4"/>
  <c r="A212" i="4"/>
  <c r="D211" i="4"/>
  <c r="A211" i="4"/>
  <c r="D210" i="4"/>
  <c r="A210" i="4"/>
  <c r="D209" i="4"/>
  <c r="A209" i="4"/>
  <c r="D208" i="4"/>
  <c r="A208" i="4"/>
  <c r="D207" i="4"/>
  <c r="A207" i="4"/>
  <c r="D206" i="4"/>
  <c r="A206" i="4"/>
  <c r="D205" i="4"/>
  <c r="A205" i="4"/>
  <c r="D204" i="4"/>
  <c r="A204" i="4"/>
  <c r="D203" i="4"/>
  <c r="A203" i="4"/>
  <c r="D202" i="4"/>
  <c r="A202" i="4"/>
  <c r="D201" i="4"/>
  <c r="A201" i="4"/>
  <c r="D200" i="4"/>
  <c r="A200" i="4"/>
  <c r="D198" i="4"/>
  <c r="A198" i="4"/>
  <c r="D197" i="4"/>
  <c r="A197" i="4"/>
  <c r="D196" i="4"/>
  <c r="A196" i="4"/>
  <c r="D195" i="4"/>
  <c r="A195" i="4"/>
  <c r="D194" i="4"/>
  <c r="A194" i="4"/>
  <c r="D193" i="4"/>
  <c r="A193" i="4"/>
  <c r="D192" i="4"/>
  <c r="A192" i="4"/>
  <c r="D191" i="4"/>
  <c r="A191" i="4"/>
  <c r="D190" i="4"/>
  <c r="A190" i="4"/>
  <c r="D189" i="4"/>
  <c r="A189" i="4"/>
  <c r="D188" i="4"/>
  <c r="A188" i="4"/>
  <c r="D187" i="4"/>
  <c r="A187" i="4"/>
  <c r="D186" i="4"/>
  <c r="A186" i="4"/>
  <c r="D185" i="4"/>
  <c r="A185" i="4"/>
  <c r="D184" i="4"/>
  <c r="A184" i="4"/>
  <c r="D183" i="4"/>
  <c r="A183" i="4"/>
  <c r="D182" i="4"/>
  <c r="A182" i="4"/>
  <c r="D181" i="4"/>
  <c r="A181" i="4"/>
  <c r="D180" i="4"/>
  <c r="A180" i="4"/>
  <c r="D179" i="4"/>
  <c r="A179" i="4"/>
  <c r="D178" i="4"/>
  <c r="A178" i="4"/>
  <c r="D177" i="4"/>
  <c r="A177" i="4"/>
  <c r="D176" i="4"/>
  <c r="A176" i="4"/>
  <c r="D175" i="4"/>
  <c r="A175" i="4"/>
  <c r="D174" i="4"/>
  <c r="A174" i="4"/>
  <c r="D173" i="4"/>
  <c r="A173" i="4"/>
  <c r="D172" i="4"/>
  <c r="A172" i="4"/>
  <c r="D171" i="4"/>
  <c r="A171" i="4"/>
  <c r="D170" i="4"/>
  <c r="A170" i="4"/>
  <c r="D169" i="4"/>
  <c r="A169" i="4"/>
  <c r="D168" i="4"/>
  <c r="A168" i="4"/>
  <c r="D167" i="4"/>
  <c r="A167" i="4"/>
  <c r="D166" i="4"/>
  <c r="A166" i="4"/>
  <c r="D165" i="4"/>
  <c r="A165" i="4"/>
  <c r="D164" i="4"/>
  <c r="A164" i="4"/>
  <c r="D163" i="4"/>
  <c r="A163" i="4"/>
  <c r="D162" i="4"/>
  <c r="A162" i="4"/>
  <c r="D161" i="4"/>
  <c r="A161" i="4"/>
  <c r="D160" i="4"/>
  <c r="A160" i="4"/>
  <c r="D159" i="4"/>
  <c r="A159" i="4"/>
  <c r="D158" i="4"/>
  <c r="A158" i="4"/>
  <c r="D157" i="4"/>
  <c r="A157" i="4"/>
  <c r="D156" i="4"/>
  <c r="A156" i="4"/>
  <c r="D155" i="4"/>
  <c r="A155" i="4"/>
  <c r="D154" i="4"/>
  <c r="A154" i="4"/>
  <c r="D153" i="4"/>
  <c r="A153" i="4"/>
  <c r="D152" i="4"/>
  <c r="A152" i="4"/>
  <c r="D151" i="4"/>
  <c r="A151" i="4"/>
  <c r="D150" i="4"/>
  <c r="A150" i="4"/>
  <c r="D149" i="4"/>
  <c r="A149" i="4"/>
  <c r="D148" i="4"/>
  <c r="A148" i="4"/>
  <c r="D147" i="4"/>
  <c r="A147" i="4"/>
  <c r="D146" i="4"/>
  <c r="A146" i="4"/>
  <c r="D145" i="4"/>
  <c r="A145" i="4"/>
  <c r="D144" i="4"/>
  <c r="A144" i="4"/>
  <c r="D143" i="4"/>
  <c r="A143" i="4"/>
  <c r="D142" i="4"/>
  <c r="A142" i="4"/>
  <c r="D141" i="4"/>
  <c r="A141" i="4"/>
  <c r="D140" i="4"/>
  <c r="A140" i="4"/>
  <c r="D139" i="4"/>
  <c r="A139" i="4"/>
  <c r="D138" i="4"/>
  <c r="A138" i="4"/>
  <c r="D137" i="4"/>
  <c r="A137" i="4"/>
  <c r="D136" i="4"/>
  <c r="A136" i="4"/>
  <c r="D135" i="4"/>
  <c r="A135" i="4"/>
  <c r="D134" i="4"/>
  <c r="A134" i="4"/>
  <c r="D133" i="4"/>
  <c r="A133" i="4"/>
  <c r="D132" i="4"/>
  <c r="A132" i="4"/>
  <c r="D131" i="4"/>
  <c r="A131" i="4"/>
  <c r="D130" i="4"/>
  <c r="A130" i="4"/>
  <c r="D129" i="4"/>
  <c r="A129" i="4"/>
  <c r="D128" i="4"/>
  <c r="A128" i="4"/>
  <c r="D127" i="4"/>
  <c r="A127" i="4"/>
  <c r="D126" i="4"/>
  <c r="A126" i="4"/>
  <c r="D125" i="4"/>
  <c r="A125" i="4"/>
  <c r="D124" i="4"/>
  <c r="A124" i="4"/>
  <c r="D123" i="4"/>
  <c r="A123" i="4"/>
  <c r="D122" i="4"/>
  <c r="A122" i="4"/>
  <c r="D121" i="4"/>
  <c r="A121" i="4"/>
  <c r="D120" i="4"/>
  <c r="A120" i="4"/>
  <c r="D119" i="4"/>
  <c r="A119" i="4"/>
  <c r="D118" i="4"/>
  <c r="A118" i="4"/>
  <c r="D117" i="4"/>
  <c r="A117" i="4"/>
  <c r="D116" i="4"/>
  <c r="A116" i="4"/>
  <c r="D115" i="4"/>
  <c r="A115" i="4"/>
  <c r="D114" i="4"/>
  <c r="A114" i="4"/>
  <c r="D113" i="4"/>
  <c r="A113" i="4"/>
  <c r="D111" i="4"/>
  <c r="A111" i="4"/>
  <c r="D110" i="4"/>
  <c r="A110" i="4"/>
  <c r="D109" i="4"/>
  <c r="A109" i="4"/>
  <c r="D108" i="4"/>
  <c r="D107" i="4"/>
  <c r="A107" i="4"/>
  <c r="D106" i="4"/>
  <c r="A106" i="4"/>
  <c r="D105" i="4"/>
  <c r="A105" i="4"/>
  <c r="D104" i="4"/>
  <c r="A104" i="4"/>
  <c r="D103" i="4"/>
  <c r="D102" i="4"/>
  <c r="A102" i="4"/>
  <c r="D101" i="4"/>
  <c r="A101" i="4"/>
  <c r="D100" i="4"/>
  <c r="A100" i="4"/>
  <c r="D99" i="4"/>
  <c r="A99" i="4"/>
  <c r="D98" i="4"/>
  <c r="A98" i="4"/>
  <c r="D97" i="4"/>
  <c r="A97" i="4"/>
  <c r="D96" i="4"/>
  <c r="A96" i="4"/>
  <c r="D95" i="4"/>
  <c r="A95" i="4"/>
  <c r="D94" i="4"/>
  <c r="A94" i="4"/>
  <c r="D93" i="4"/>
  <c r="A93" i="4"/>
  <c r="D92" i="4"/>
  <c r="A92" i="4"/>
  <c r="D91" i="4"/>
  <c r="A91" i="4"/>
  <c r="D90" i="4"/>
  <c r="A90" i="4"/>
  <c r="D89" i="4"/>
  <c r="A89" i="4"/>
  <c r="D88" i="4"/>
  <c r="A88" i="4"/>
  <c r="D87" i="4"/>
  <c r="A87" i="4"/>
  <c r="D86" i="4"/>
  <c r="A86" i="4"/>
  <c r="D85" i="4"/>
  <c r="A85" i="4"/>
  <c r="D84" i="4"/>
  <c r="A84" i="4"/>
  <c r="D83" i="4"/>
  <c r="A83" i="4"/>
  <c r="D82" i="4"/>
  <c r="A82" i="4"/>
  <c r="D81" i="4"/>
  <c r="A81" i="4"/>
  <c r="D80" i="4"/>
  <c r="A80" i="4"/>
  <c r="D79" i="4"/>
  <c r="A79" i="4"/>
  <c r="D78" i="4"/>
  <c r="A78" i="4"/>
  <c r="D77" i="4"/>
  <c r="A77" i="4"/>
  <c r="D76" i="4"/>
  <c r="A76" i="4"/>
  <c r="D75" i="4"/>
  <c r="A75" i="4"/>
  <c r="D74" i="4"/>
  <c r="A74" i="4"/>
  <c r="D73" i="4"/>
  <c r="A73" i="4"/>
  <c r="D72" i="4"/>
  <c r="A72" i="4"/>
  <c r="D71" i="4"/>
  <c r="A71" i="4"/>
  <c r="D70" i="4"/>
  <c r="A70" i="4"/>
  <c r="D69" i="4"/>
  <c r="A69" i="4"/>
  <c r="D68" i="4"/>
  <c r="A68" i="4"/>
  <c r="D67" i="4"/>
  <c r="A67" i="4"/>
  <c r="D66" i="4"/>
  <c r="A66" i="4"/>
  <c r="D65" i="4"/>
  <c r="A65" i="4"/>
  <c r="D64" i="4"/>
  <c r="A64" i="4"/>
  <c r="D63" i="4"/>
  <c r="A63" i="4"/>
  <c r="D62" i="4"/>
  <c r="A62" i="4"/>
  <c r="D61" i="4"/>
  <c r="A61" i="4"/>
  <c r="D60" i="4"/>
  <c r="A60" i="4"/>
  <c r="D59" i="4"/>
  <c r="A59" i="4"/>
  <c r="D58" i="4"/>
  <c r="A58" i="4"/>
  <c r="D57" i="4"/>
  <c r="A57" i="4"/>
  <c r="D56" i="4"/>
  <c r="A56" i="4"/>
  <c r="D55" i="4"/>
  <c r="A55" i="4"/>
  <c r="D54" i="4"/>
  <c r="A54" i="4"/>
  <c r="D53" i="4"/>
  <c r="A53" i="4"/>
  <c r="D52" i="4"/>
  <c r="A52" i="4"/>
  <c r="D51" i="4"/>
  <c r="A51" i="4"/>
  <c r="D50" i="4"/>
  <c r="A50" i="4"/>
  <c r="D49" i="4"/>
  <c r="A49" i="4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D13" i="4"/>
  <c r="A13" i="4"/>
  <c r="D12" i="4"/>
  <c r="A12" i="4"/>
  <c r="D11" i="4"/>
  <c r="A11" i="4"/>
  <c r="D10" i="4"/>
  <c r="A10" i="4"/>
  <c r="D9" i="4"/>
  <c r="A9" i="4"/>
  <c r="D8" i="4"/>
  <c r="A8" i="4"/>
  <c r="D7" i="4"/>
  <c r="A7" i="4"/>
  <c r="D6" i="4"/>
  <c r="A6" i="4"/>
  <c r="D5" i="4"/>
  <c r="A5" i="4"/>
  <c r="D4" i="4"/>
  <c r="A4" i="4"/>
  <c r="D3" i="4"/>
  <c r="A3" i="4"/>
  <c r="D2" i="4"/>
</calcChain>
</file>

<file path=xl/sharedStrings.xml><?xml version="1.0" encoding="utf-8"?>
<sst xmlns="http://schemas.openxmlformats.org/spreadsheetml/2006/main" count="2363" uniqueCount="215">
  <si>
    <t>MALETA HERRAMIENTAS ALUMINIO 51 PCS</t>
  </si>
  <si>
    <t>UN</t>
  </si>
  <si>
    <t>ESTUCHE SALKI 1/4"-1/2" 94 PIEZAS</t>
  </si>
  <si>
    <t>FLEXOMETRO ECONOMICO 5MX19MM</t>
  </si>
  <si>
    <t>FLEXOMETRO ECONOMICO 3MX16MM</t>
  </si>
  <si>
    <t>* TIJERA CORTATUBOS PLASTICO 45</t>
  </si>
  <si>
    <t>CARRO TALLER 7 CAJONES + DOTACION</t>
  </si>
  <si>
    <t>* SET DE TERRAJA 1/2"-3/4"-1"</t>
  </si>
  <si>
    <t>CORTABULONES 12"</t>
  </si>
  <si>
    <t>TIJERAS PL 42 EL</t>
  </si>
  <si>
    <t>CANCAMO ABIERTO M12x90</t>
  </si>
  <si>
    <t>* LLAVE CORREA 3"</t>
  </si>
  <si>
    <t>JUEGO 6 DESTORNILLAD TORX SALKI</t>
  </si>
  <si>
    <t>* LLAVE STILLSON 2" (18)</t>
  </si>
  <si>
    <t>JUEGO 6 DESTORNILLAD SALKI 3PL+3PH</t>
  </si>
  <si>
    <t>JUEGO DESTORNILL. PRECISION SALKI 8 PCS</t>
  </si>
  <si>
    <t>* LLAVE STILLSON 1 1/4" (12)</t>
  </si>
  <si>
    <t>* TENAZA AUTOAJUSTABLE SALKI</t>
  </si>
  <si>
    <t>* CURVATUBOS 180º 3 EN 1</t>
  </si>
  <si>
    <t>CORTATUBOS AUTOMATICO 67 PL</t>
  </si>
  <si>
    <t>AEROGRAFO PROFESIONAL</t>
  </si>
  <si>
    <t>* LLAVE SUECA TIPO S 1"</t>
  </si>
  <si>
    <t>LLAVE SUECA TIPO 45 1"</t>
  </si>
  <si>
    <t>TIJERAS PL 35 EL</t>
  </si>
  <si>
    <t>* LLAVE DE SIFON</t>
  </si>
  <si>
    <t>TIJERA CORTATUBOS PLASTICO 75</t>
  </si>
  <si>
    <t>GRASA ADHESIVA CADENAS  SALKI-PRO 400 ml</t>
  </si>
  <si>
    <t>* CORTATUBOS 45 CU</t>
  </si>
  <si>
    <t xml:space="preserve"> LLAVE STILLSON 1 1/2" (14)</t>
  </si>
  <si>
    <t>*  TENAZA CURVATUBOS 15 MM</t>
  </si>
  <si>
    <t>BANDEJA IMANTADA CIRCULAR 150mm</t>
  </si>
  <si>
    <t>SET 2 PCS ESPEJO E IMAN TELELESCOPICO</t>
  </si>
  <si>
    <t>LLAVE AJUSTABLE 10"</t>
  </si>
  <si>
    <t>GUIA DE ANCLAJES</t>
  </si>
  <si>
    <t>* LLAVE STILLSON 1" SALKI (10)</t>
  </si>
  <si>
    <t>* LLAVE DE RADIADORES</t>
  </si>
  <si>
    <t>* LLAVE SUECA TIPO S 1/2 "</t>
  </si>
  <si>
    <t>BOX PLT 5 MALETAS 51 (8920050) + REGALO</t>
  </si>
  <si>
    <t>L- PINZA RECOGE ACCESORIOS FLEXIBLE</t>
  </si>
  <si>
    <t>LLAVE SUECA 90 2"</t>
  </si>
  <si>
    <t>MINI COMPRESOR LIGERO</t>
  </si>
  <si>
    <t>CUTTER 18MM ANTIDESLIZANTE PROF. ROSCA</t>
  </si>
  <si>
    <t>RECIPIENTE DE ACEITE ABIERTO 16L</t>
  </si>
  <si>
    <t>LLAVE WC TELESCOPICA</t>
  </si>
  <si>
    <t>* LLAVE WC (CrV)</t>
  </si>
  <si>
    <t>LLAVE CADENA REVERSIBLE 4"</t>
  </si>
  <si>
    <t>TENAZA GRIP 175 MM</t>
  </si>
  <si>
    <t>Pl 22-6</t>
  </si>
  <si>
    <t>BOX PLT 10 MALETAS 51 (8920050) + REGALO</t>
  </si>
  <si>
    <t>TIJERAS ELECTRICISTA HOJAS RECTAS</t>
  </si>
  <si>
    <t>ABRAZ. PL. AMARILLA RM8+M10-100 (3 1/2")</t>
  </si>
  <si>
    <t>CURVATUBOS 16 MM</t>
  </si>
  <si>
    <t>* E6-20 CU (2 un)</t>
  </si>
  <si>
    <t>* MUELLE CURVATUBOS 10 MM</t>
  </si>
  <si>
    <t>* TENAZA CURVATUBOS 12 MM</t>
  </si>
  <si>
    <t>LLAVE SUECA TIPO 90 1-1/2"</t>
  </si>
  <si>
    <t>CUCHILLA EB</t>
  </si>
  <si>
    <t>LLAVE PIVOTE 32-75MM</t>
  </si>
  <si>
    <t>CURVATUBOS CARRACA 12-22mm (HD)</t>
  </si>
  <si>
    <t>BANCO DE TRABAJO CON ARMARIO SIN CAJONES</t>
  </si>
  <si>
    <t>LLAVE WC CROMADA</t>
  </si>
  <si>
    <t>LLAVE CORREA GOMA 4"</t>
  </si>
  <si>
    <t>LLAVE HEAVY DUTY 14"</t>
  </si>
  <si>
    <t>* MUELLE CURVATUBOS 15 MM</t>
  </si>
  <si>
    <t>* E3-20 CU (2 un)</t>
  </si>
  <si>
    <t>LLAVE ALUMINIO 14"</t>
  </si>
  <si>
    <t>LLAVE ALUMINIO 18"</t>
  </si>
  <si>
    <t>LLAVE SUECA TIPO 90 1"</t>
  </si>
  <si>
    <t>LLAVE PICO DE PATO 14" (AL)</t>
  </si>
  <si>
    <t>TENAZA CANAL MP 12"</t>
  </si>
  <si>
    <t>CORTATUBOS PLASTICO 42MM</t>
  </si>
  <si>
    <t>LLAVE SUECA TIPO 45 1-1/2"</t>
  </si>
  <si>
    <t>SET ESTUCHE METALICO 1/4" 31 PCS</t>
  </si>
  <si>
    <t>SET ESTUCHE METALICO 1/4" 30 PCS</t>
  </si>
  <si>
    <t>CORTATUBOS 35</t>
  </si>
  <si>
    <t>BAUL HERRAMIENTAS 6 CAJONES</t>
  </si>
  <si>
    <t>* MUELLE CURVATUBOS 12 MM</t>
  </si>
  <si>
    <t>PI 22-6</t>
  </si>
  <si>
    <t>LLAVE HEAVY DUTY 18"</t>
  </si>
  <si>
    <t>* ABOCINADOR 4-16MM</t>
  </si>
  <si>
    <t>SOPLETE K3</t>
  </si>
  <si>
    <t>KITCOMPRESOR SLK 12V300PSI+BALON+BANDEJA</t>
  </si>
  <si>
    <t>AEROGRAFO BRICOLAJE</t>
  </si>
  <si>
    <t>LLAVE STILLSON 2"</t>
  </si>
  <si>
    <t>LLAVE PICO LORO 10"</t>
  </si>
  <si>
    <t>MUELLE CURVATUBOS 16 MM</t>
  </si>
  <si>
    <t>LLAVE SUECA TIPO 45 2"</t>
  </si>
  <si>
    <t>* E3-18 CU (2 un)</t>
  </si>
  <si>
    <t>ABOCINADOR CONCENTRICO</t>
  </si>
  <si>
    <t>L-COMPROBADOR LUCES DE COCHE 6-24 V</t>
  </si>
  <si>
    <t>LLAVE CORREA GOMA 6"</t>
  </si>
  <si>
    <t>LLAVE AJUSTABLE 12"</t>
  </si>
  <si>
    <t>CABLES PARA MULTIMETRO DIGITAL</t>
  </si>
  <si>
    <t>LIMPIADOR DE FRENOS SALKI-PRO 500 ml</t>
  </si>
  <si>
    <t>* SET DE TERRAJA 1/2"-3/4"-1"-1 1/4"</t>
  </si>
  <si>
    <t>* CUCHILLA 3/4" SET TERRAJA</t>
  </si>
  <si>
    <t>RASCADOR URETANO SB531</t>
  </si>
  <si>
    <t>ESCARIADOR 40</t>
  </si>
  <si>
    <t>* CUCHILLA 1-1/4" SET TERRAJA</t>
  </si>
  <si>
    <t>RECIPIENTE ACEITE L-16 ESTANDARD</t>
  </si>
  <si>
    <t>MALETA VACIA SALKI 216 PZ REF. 8612075</t>
  </si>
  <si>
    <t>TACO INCO 8x90</t>
  </si>
  <si>
    <t>TOR. INVIOLABLE 7x60</t>
  </si>
  <si>
    <t>ESTUCHE ALICATE TERMINALES + 60PC</t>
  </si>
  <si>
    <t>TOR. DIN 7504-K 6.3x25 P19 INOX</t>
  </si>
  <si>
    <t>BURLETE RAPID-ADH 30mx50mmx3mm</t>
  </si>
  <si>
    <t>ANCLAJE DIRECTO TC 60</t>
  </si>
  <si>
    <t>ENCOLADOR MAX ADVANCE 60W</t>
  </si>
  <si>
    <t>REMACHADORA MANUAL ECO SALKI RSK B50</t>
  </si>
  <si>
    <t>COMPRESOR 230V HEAVY DUTY</t>
  </si>
  <si>
    <t>SOLDADOR SALKI "CE" 40 W</t>
  </si>
  <si>
    <t>MALETA INDUST PVC 1/4" 1/2" 65 PCS PGDS</t>
  </si>
  <si>
    <t>TRAMPILLAS - REGALAR</t>
  </si>
  <si>
    <t>DESA FIX M16x170</t>
  </si>
  <si>
    <t>DESA FIX M16x110</t>
  </si>
  <si>
    <t>TACO NYZ 5x25</t>
  </si>
  <si>
    <t>TOR. PRESION DIN 933 M10x60</t>
  </si>
  <si>
    <t>PLACA T</t>
  </si>
  <si>
    <t>PLACA UNION STRUT 3 AGUJEROS</t>
  </si>
  <si>
    <t>BP. TACO NYF 8x40 - 150 uds</t>
  </si>
  <si>
    <t>PINZA DX</t>
  </si>
  <si>
    <t>TACO NYN 6x35</t>
  </si>
  <si>
    <t>DESA FIX M16x145</t>
  </si>
  <si>
    <t>TACO CLAVO TCC 6x35</t>
  </si>
  <si>
    <t>ANCLAJE ZK ESPARRAGO M12</t>
  </si>
  <si>
    <t>DESA BRIC GANCHO M12/Ø16x80</t>
  </si>
  <si>
    <t>REMACHE AL/AC 4.8x12 BLANCO</t>
  </si>
  <si>
    <t>CANCAMO CERRADO M12x98</t>
  </si>
  <si>
    <t>ENCOLADOR MINI DETAIL 25W</t>
  </si>
  <si>
    <t>TORN. 6X180 TX TOR CAB. PLANA BICRO</t>
  </si>
  <si>
    <t>DESA BRIC 6.8 M10/Ø12x100</t>
  </si>
  <si>
    <t>BLISTER TACO JET MJP+TORNILLO FOSFATADO</t>
  </si>
  <si>
    <t>FIX M8X130</t>
  </si>
  <si>
    <t>MALETÍN VACIO PRO-08 AUTO</t>
  </si>
  <si>
    <t>TORK POWERS BT 16100</t>
  </si>
  <si>
    <t>GRAPA PUENTE 42</t>
  </si>
  <si>
    <t>BLISTER 6 CONJUNTO FIJACION Ø12</t>
  </si>
  <si>
    <t>BLISTER ANCLAJE MUNGO MB S HEX 10x100</t>
  </si>
  <si>
    <t>DESA BRIC 6.8 M6/Ø8x60 - BICROM</t>
  </si>
  <si>
    <t>FISCHER FSA 10/35S</t>
  </si>
  <si>
    <t>COIL 2,5X60 H SENC</t>
  </si>
  <si>
    <t>REAGRUPAR</t>
  </si>
  <si>
    <t>BLISTER 30 TACOS MUNGO MN  M5</t>
  </si>
  <si>
    <t>BL. DESA BRIC 6.8 M6/8x45 - 4 uds</t>
  </si>
  <si>
    <t>ANCLAJE DX M6x63</t>
  </si>
  <si>
    <t>DESA-BRIC 6.8 M10 /Ø12x70</t>
  </si>
  <si>
    <t>GRAPA A-18 PLAST.VERDE/ABRAZADERAS Y OTROS</t>
  </si>
  <si>
    <t>BROCA SDS PLUS DUAL FORCE 6x160 Y OTROS</t>
  </si>
  <si>
    <t>T. VIGA 6.3x120 P25 #5 SW10</t>
  </si>
  <si>
    <t>T. VIGA 6.3x80  P25 #5 SW10</t>
  </si>
  <si>
    <t>DESA-BRIC ARGOLLA M6 /Ø8x50</t>
  </si>
  <si>
    <t>T. VIGA 6.3x100 P25 #5 SW10</t>
  </si>
  <si>
    <t>BOLSA 25 OJALES 12mm</t>
  </si>
  <si>
    <t>BOLSA 50 OJALES 8mm</t>
  </si>
  <si>
    <t>BOLSA 50 OJALES 6mm</t>
  </si>
  <si>
    <t>BOLSA 50 OJALES 4mm</t>
  </si>
  <si>
    <t>BOLSA 25 OJALES 10mm</t>
  </si>
  <si>
    <t>MANGO E Y PISTOLA DF-PRO UNIVERSAL</t>
  </si>
  <si>
    <t>MAQUINAS DE SEGUNDA MANO</t>
  </si>
  <si>
    <t>ANCLAJES SUPERFIX</t>
  </si>
  <si>
    <t>MALETA PORTAHERRAMIENTAS AZUL VACIA</t>
  </si>
  <si>
    <t xml:space="preserve">FISCHER ANCLAJES </t>
  </si>
  <si>
    <t>Observación 1</t>
  </si>
  <si>
    <t>GRAPA 32 Y MATERIAL DE FISCHER</t>
  </si>
  <si>
    <t xml:space="preserve">DESCRIPCIÓN </t>
  </si>
  <si>
    <t>Cantidades</t>
  </si>
  <si>
    <t>Ud</t>
  </si>
  <si>
    <t>VARIOS SALKI. (maletin 51, bomba pedal, grapadores cercas)</t>
  </si>
  <si>
    <t>TORNILLO MADERA 6.0 x 60 TORX BRIC CABEZA PLANA</t>
  </si>
  <si>
    <t>MILL</t>
  </si>
  <si>
    <t>TUERCAS Y ANCLAJES M10</t>
  </si>
  <si>
    <t>TORNILLO INVIOLABLE 11L</t>
  </si>
  <si>
    <t>DESA-BRIC ARGOLLA /GANCHO y 6.8  M8/Ø11x60</t>
  </si>
  <si>
    <t>REMACHES VARIOS SIMES</t>
  </si>
  <si>
    <t>GRAP. NEUMATICA CSK P06, COMPRESOR  Y OTRAS MAQUINAS</t>
  </si>
  <si>
    <t xml:space="preserve">TORNILLOS DESA, CINTAS, BRIDAS </t>
  </si>
  <si>
    <t>TORNILLERIA DESA</t>
  </si>
  <si>
    <t>FIX INOX A4 M10x120 / M10x150 y otros.</t>
  </si>
  <si>
    <t>VARIOS DESA (anclajes, tacos…)</t>
  </si>
  <si>
    <t xml:space="preserve">DESA BRIC TORNILLO BICROMATADO 14x70 </t>
  </si>
  <si>
    <t>DESA BRIC BICROMATADO (ZINC YELLOW)</t>
  </si>
  <si>
    <t xml:space="preserve">ANCLAJE DESA M10X90, </t>
  </si>
  <si>
    <t>MUNGO TACO METALICO</t>
  </si>
  <si>
    <t>MUNGO ANCLAJE PEQUEÑO MHD-S M6x71 y otros</t>
  </si>
  <si>
    <t>MUNGO ANCLAJES GRANDES HL-BM6 y otros</t>
  </si>
  <si>
    <t>MUNGO TACO NYLON. Varias medidas</t>
  </si>
  <si>
    <t xml:space="preserve">MUNGO TACO NYLON. Varias medidas </t>
  </si>
  <si>
    <t>DESCRIPCION</t>
  </si>
  <si>
    <t>Observaciones</t>
  </si>
  <si>
    <t>AA MAQUINA CON TRES CLAVADORAS PARA TEST</t>
  </si>
  <si>
    <t>Material gratuito con valoración</t>
  </si>
  <si>
    <t>Repuesto gratuito con valoración</t>
  </si>
  <si>
    <t>CLAVADORAS NEUMATICAS</t>
  </si>
  <si>
    <t>GRAPADORA 1300 MODELO ANTIGUO</t>
  </si>
  <si>
    <t>GRAPADORAS NEUMATICAS</t>
  </si>
  <si>
    <t>LAMPARA MAGNUM</t>
  </si>
  <si>
    <t>Respuesto gratuitos sin valoración</t>
  </si>
  <si>
    <t>TRIPODES LAMPARAS</t>
  </si>
  <si>
    <t>Valoración repuestos en armario metalico gratuitos</t>
  </si>
  <si>
    <t>ALM</t>
  </si>
  <si>
    <t>Material gratuito sin valoración</t>
  </si>
  <si>
    <t>MATERIAL VARIOS DESA</t>
  </si>
  <si>
    <t>BROCAS Y  OTROS</t>
  </si>
  <si>
    <t>Ref</t>
  </si>
  <si>
    <t>TORN. 4X25 TX TOR CAB. PLANA Y 4,5X70 POZI CAB.PLANA BRICO</t>
  </si>
  <si>
    <t>MUNGO  HLS-M16 TACO METALICO</t>
  </si>
  <si>
    <t>MUNGO MHD M4X40 TACO METALICO</t>
  </si>
  <si>
    <t>MIXER CHEM CON CLIP Y OTROS MATERIALES VARIOS</t>
  </si>
  <si>
    <t xml:space="preserve">SE HAN TOMADO LOS COSTES DE LAS REFERENCIAS MÁS ECONOMICAS Y SE HAN CONTABILIZADO CANTIDADES INFERIORES A LAS REALES.  EN LA DESCRIPCIÓN SE HA DESCRITO LOS MATERIALES MAS SIGNIFICATIVOS CONTENIDOS EN EL PALLET. </t>
  </si>
  <si>
    <t>VARIOS</t>
  </si>
  <si>
    <t>CAJAS</t>
  </si>
  <si>
    <r>
      <rPr>
        <b/>
        <u/>
        <sz val="11"/>
        <color theme="1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LAS CANTIDADES DE ALGUNOS PALLETS REFLEJADAS EN ESTA TABLA SON APROXIMADAS Y ESTIMATIVAS, SIEMPRE BAJO EL PRINCIPIO DE PRUDENCIA. LA MAYORIA DE LOS PALLETS TIENEN VARIAS REFERENCIAS. ANTE PALLETS CON DIVERSA REFERENCIAS </t>
    </r>
  </si>
  <si>
    <t>Precio Mercado (€)</t>
  </si>
  <si>
    <t>Precio Real Mercado (€)</t>
  </si>
  <si>
    <t>Precio Mercado menos regalo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</si>
</sst>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33" borderId="16" xfId="0" applyNumberFormat="1" applyFill="1" applyBorder="1" applyAlignment="1">
      <alignment horizontal="center"/>
    </xf>
    <xf numFmtId="2" fontId="16" fillId="34" borderId="17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164" fontId="21" fillId="34" borderId="19" xfId="0" applyNumberFormat="1" applyFont="1" applyFill="1" applyBorder="1" applyAlignment="1">
      <alignment horizontal="center"/>
    </xf>
    <xf numFmtId="164" fontId="21" fillId="33" borderId="1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164" fontId="19" fillId="34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9" fontId="16" fillId="0" borderId="1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0" fontId="16" fillId="34" borderId="10" xfId="0" applyFont="1" applyFill="1" applyBorder="1" applyAlignment="1">
      <alignment horizontal="center"/>
    </xf>
    <xf numFmtId="164" fontId="16" fillId="34" borderId="10" xfId="0" applyNumberFormat="1" applyFont="1" applyFill="1" applyBorder="1" applyAlignment="1">
      <alignment horizontal="center"/>
    </xf>
    <xf numFmtId="0" fontId="16" fillId="0" borderId="10" xfId="0" applyFont="1" applyFill="1" applyBorder="1"/>
    <xf numFmtId="49" fontId="16" fillId="0" borderId="10" xfId="0" applyNumberFormat="1" applyFont="1" applyFill="1" applyBorder="1"/>
    <xf numFmtId="0" fontId="19" fillId="0" borderId="10" xfId="0" applyFont="1" applyFill="1" applyBorder="1"/>
    <xf numFmtId="0" fontId="16" fillId="0" borderId="10" xfId="0" applyFont="1" applyBorder="1"/>
    <xf numFmtId="0" fontId="16" fillId="35" borderId="10" xfId="0" applyFont="1" applyFill="1" applyBorder="1"/>
    <xf numFmtId="0" fontId="16" fillId="36" borderId="20" xfId="0" applyFont="1" applyFill="1" applyBorder="1"/>
    <xf numFmtId="0" fontId="0" fillId="36" borderId="21" xfId="0" applyFill="1" applyBorder="1"/>
    <xf numFmtId="0" fontId="0" fillId="36" borderId="22" xfId="0" applyFill="1" applyBorder="1" applyAlignment="1">
      <alignment horizontal="center"/>
    </xf>
    <xf numFmtId="0" fontId="16" fillId="36" borderId="23" xfId="0" applyFont="1" applyFill="1" applyBorder="1"/>
    <xf numFmtId="0" fontId="0" fillId="36" borderId="24" xfId="0" applyFill="1" applyBorder="1"/>
    <xf numFmtId="0" fontId="0" fillId="36" borderId="25" xfId="0" applyFill="1" applyBorder="1" applyAlignment="1">
      <alignment horizontal="center"/>
    </xf>
    <xf numFmtId="0" fontId="16" fillId="0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6"/>
  <sheetViews>
    <sheetView tabSelected="1" zoomScale="93" zoomScaleNormal="93" workbookViewId="0">
      <selection activeCell="G15" sqref="G15"/>
    </sheetView>
  </sheetViews>
  <sheetFormatPr defaultColWidth="10.7109375" defaultRowHeight="15" x14ac:dyDescent="0.25"/>
  <cols>
    <col min="1" max="1" width="43.140625" customWidth="1"/>
    <col min="2" max="2" width="9.85546875" style="15" customWidth="1"/>
    <col min="3" max="3" width="16.28515625" customWidth="1"/>
    <col min="4" max="4" width="7.5703125" customWidth="1"/>
    <col min="5" max="5" width="29.7109375" customWidth="1"/>
  </cols>
  <sheetData>
    <row r="1" spans="1:5" s="1" customFormat="1" x14ac:dyDescent="0.25">
      <c r="A1" s="22" t="s">
        <v>164</v>
      </c>
      <c r="B1" s="22" t="s">
        <v>199</v>
      </c>
      <c r="C1" s="22" t="s">
        <v>165</v>
      </c>
      <c r="D1" s="22" t="s">
        <v>166</v>
      </c>
      <c r="E1" s="23" t="s">
        <v>212</v>
      </c>
    </row>
    <row r="2" spans="1:5" x14ac:dyDescent="0.25">
      <c r="A2" s="34" t="s">
        <v>28</v>
      </c>
      <c r="B2" s="2">
        <v>71</v>
      </c>
      <c r="C2" s="8">
        <v>241</v>
      </c>
      <c r="D2" s="8" t="s">
        <v>1</v>
      </c>
      <c r="E2" s="7">
        <v>5034.553582978725</v>
      </c>
    </row>
    <row r="3" spans="1:5" x14ac:dyDescent="0.25">
      <c r="A3" s="34" t="s">
        <v>29</v>
      </c>
      <c r="B3" s="2">
        <v>71</v>
      </c>
      <c r="C3" s="8">
        <v>122</v>
      </c>
      <c r="D3" s="8" t="s">
        <v>1</v>
      </c>
      <c r="E3" s="7">
        <v>6121.370246808513</v>
      </c>
    </row>
    <row r="4" spans="1:5" x14ac:dyDescent="0.25">
      <c r="A4" s="34" t="s">
        <v>79</v>
      </c>
      <c r="B4" s="2">
        <v>71</v>
      </c>
      <c r="C4" s="8">
        <v>17</v>
      </c>
      <c r="D4" s="8" t="s">
        <v>1</v>
      </c>
      <c r="E4" s="7">
        <v>987.26451063829825</v>
      </c>
    </row>
    <row r="5" spans="1:5" x14ac:dyDescent="0.25">
      <c r="A5" s="34" t="s">
        <v>27</v>
      </c>
      <c r="B5" s="2">
        <v>71</v>
      </c>
      <c r="C5" s="8">
        <v>219</v>
      </c>
      <c r="D5" s="8" t="s">
        <v>1</v>
      </c>
      <c r="E5" s="7">
        <v>5228.9651489361713</v>
      </c>
    </row>
    <row r="6" spans="1:5" x14ac:dyDescent="0.25">
      <c r="A6" s="34" t="s">
        <v>98</v>
      </c>
      <c r="B6" s="2">
        <v>71</v>
      </c>
      <c r="C6" s="8">
        <v>6</v>
      </c>
      <c r="D6" s="8" t="s">
        <v>1</v>
      </c>
      <c r="E6" s="7">
        <v>45.248476595744691</v>
      </c>
    </row>
    <row r="7" spans="1:5" x14ac:dyDescent="0.25">
      <c r="A7" s="34" t="s">
        <v>95</v>
      </c>
      <c r="B7" s="2">
        <v>71</v>
      </c>
      <c r="C7" s="8">
        <v>12</v>
      </c>
      <c r="D7" s="8" t="s">
        <v>1</v>
      </c>
      <c r="E7" s="7">
        <v>74.808612765957477</v>
      </c>
    </row>
    <row r="8" spans="1:5" x14ac:dyDescent="0.25">
      <c r="A8" s="34" t="s">
        <v>18</v>
      </c>
      <c r="B8" s="2">
        <v>71</v>
      </c>
      <c r="C8" s="8">
        <v>249</v>
      </c>
      <c r="D8" s="8" t="s">
        <v>1</v>
      </c>
      <c r="E8" s="7">
        <v>8696.872800000001</v>
      </c>
    </row>
    <row r="9" spans="1:5" x14ac:dyDescent="0.25">
      <c r="A9" s="34" t="s">
        <v>87</v>
      </c>
      <c r="B9" s="2">
        <v>71</v>
      </c>
      <c r="C9" s="8">
        <v>45</v>
      </c>
      <c r="D9" s="8" t="s">
        <v>1</v>
      </c>
      <c r="E9" s="7">
        <v>237.1829361702128</v>
      </c>
    </row>
    <row r="10" spans="1:5" x14ac:dyDescent="0.25">
      <c r="A10" s="34" t="s">
        <v>64</v>
      </c>
      <c r="B10" s="2">
        <v>71</v>
      </c>
      <c r="C10" s="8">
        <v>126</v>
      </c>
      <c r="D10" s="8" t="s">
        <v>1</v>
      </c>
      <c r="E10" s="7">
        <v>775.08658723404278</v>
      </c>
    </row>
    <row r="11" spans="1:5" x14ac:dyDescent="0.25">
      <c r="A11" s="34" t="s">
        <v>52</v>
      </c>
      <c r="B11" s="2">
        <v>71</v>
      </c>
      <c r="C11" s="8">
        <v>200</v>
      </c>
      <c r="D11" s="8" t="s">
        <v>1</v>
      </c>
      <c r="E11" s="7">
        <v>1178.0017021276599</v>
      </c>
    </row>
    <row r="12" spans="1:5" x14ac:dyDescent="0.25">
      <c r="A12" s="34" t="s">
        <v>11</v>
      </c>
      <c r="B12" s="2">
        <v>71</v>
      </c>
      <c r="C12" s="8">
        <v>328</v>
      </c>
      <c r="D12" s="8" t="s">
        <v>1</v>
      </c>
      <c r="E12" s="7">
        <v>10246.412936170216</v>
      </c>
    </row>
    <row r="13" spans="1:5" x14ac:dyDescent="0.25">
      <c r="A13" s="34" t="s">
        <v>35</v>
      </c>
      <c r="B13" s="2">
        <v>71</v>
      </c>
      <c r="C13" s="8">
        <v>72</v>
      </c>
      <c r="D13" s="8" t="s">
        <v>1</v>
      </c>
      <c r="E13" s="7">
        <v>4093.170587234044</v>
      </c>
    </row>
    <row r="14" spans="1:5" x14ac:dyDescent="0.25">
      <c r="A14" s="34" t="s">
        <v>24</v>
      </c>
      <c r="B14" s="2">
        <v>71</v>
      </c>
      <c r="C14" s="8">
        <v>436</v>
      </c>
      <c r="D14" s="8" t="s">
        <v>1</v>
      </c>
      <c r="E14" s="7">
        <v>5892.1002893617042</v>
      </c>
    </row>
    <row r="15" spans="1:5" x14ac:dyDescent="0.25">
      <c r="A15" s="34" t="s">
        <v>16</v>
      </c>
      <c r="B15" s="2">
        <v>71</v>
      </c>
      <c r="C15" s="8">
        <v>443</v>
      </c>
      <c r="D15" s="8" t="s">
        <v>1</v>
      </c>
      <c r="E15" s="7">
        <v>8321.6324680851067</v>
      </c>
    </row>
    <row r="16" spans="1:5" x14ac:dyDescent="0.25">
      <c r="A16" s="34" t="s">
        <v>34</v>
      </c>
      <c r="B16" s="2">
        <v>71</v>
      </c>
      <c r="C16" s="8">
        <v>247</v>
      </c>
      <c r="D16" s="8" t="s">
        <v>1</v>
      </c>
      <c r="E16" s="7">
        <v>4595.6378553191489</v>
      </c>
    </row>
    <row r="17" spans="1:5" x14ac:dyDescent="0.25">
      <c r="A17" s="34" t="s">
        <v>13</v>
      </c>
      <c r="B17" s="2">
        <v>71</v>
      </c>
      <c r="C17" s="8">
        <v>314</v>
      </c>
      <c r="D17" s="8" t="s">
        <v>1</v>
      </c>
      <c r="E17" s="7">
        <v>8650.9912851063855</v>
      </c>
    </row>
    <row r="18" spans="1:5" x14ac:dyDescent="0.25">
      <c r="A18" s="34" t="s">
        <v>21</v>
      </c>
      <c r="B18" s="2">
        <v>71</v>
      </c>
      <c r="C18" s="8">
        <v>210</v>
      </c>
      <c r="D18" s="8" t="s">
        <v>1</v>
      </c>
      <c r="E18" s="7">
        <v>6854.97906382979</v>
      </c>
    </row>
    <row r="19" spans="1:5" x14ac:dyDescent="0.25">
      <c r="A19" s="34" t="s">
        <v>36</v>
      </c>
      <c r="B19" s="2">
        <v>71</v>
      </c>
      <c r="C19" s="8">
        <v>154</v>
      </c>
      <c r="D19" s="8" t="s">
        <v>1</v>
      </c>
      <c r="E19" s="7">
        <v>4863.7983829787245</v>
      </c>
    </row>
    <row r="20" spans="1:5" x14ac:dyDescent="0.25">
      <c r="A20" s="34" t="s">
        <v>44</v>
      </c>
      <c r="B20" s="2">
        <v>71</v>
      </c>
      <c r="C20" s="8">
        <v>111</v>
      </c>
      <c r="D20" s="8" t="s">
        <v>1</v>
      </c>
      <c r="E20" s="7">
        <v>3019.9642468085121</v>
      </c>
    </row>
    <row r="21" spans="1:5" x14ac:dyDescent="0.25">
      <c r="A21" s="34" t="s">
        <v>53</v>
      </c>
      <c r="B21" s="2">
        <v>71</v>
      </c>
      <c r="C21" s="8">
        <v>330</v>
      </c>
      <c r="D21" s="8" t="s">
        <v>1</v>
      </c>
      <c r="E21" s="7">
        <v>1852.8755744680855</v>
      </c>
    </row>
    <row r="22" spans="1:5" x14ac:dyDescent="0.25">
      <c r="A22" s="34" t="s">
        <v>76</v>
      </c>
      <c r="B22" s="2">
        <v>71</v>
      </c>
      <c r="C22" s="8">
        <v>126</v>
      </c>
      <c r="D22" s="8" t="s">
        <v>1</v>
      </c>
      <c r="E22" s="7">
        <v>839.24364255319165</v>
      </c>
    </row>
    <row r="23" spans="1:5" x14ac:dyDescent="0.25">
      <c r="A23" s="34" t="s">
        <v>63</v>
      </c>
      <c r="B23" s="2">
        <v>71</v>
      </c>
      <c r="C23" s="8">
        <v>197</v>
      </c>
      <c r="D23" s="8" t="s">
        <v>1</v>
      </c>
      <c r="E23" s="7">
        <v>1526.3241446808513</v>
      </c>
    </row>
    <row r="24" spans="1:5" x14ac:dyDescent="0.25">
      <c r="A24" s="34" t="s">
        <v>7</v>
      </c>
      <c r="B24" s="2">
        <v>71</v>
      </c>
      <c r="C24" s="8">
        <v>201</v>
      </c>
      <c r="D24" s="8" t="s">
        <v>1</v>
      </c>
      <c r="E24" s="7">
        <v>20242.335370212772</v>
      </c>
    </row>
    <row r="25" spans="1:5" x14ac:dyDescent="0.25">
      <c r="A25" s="34" t="s">
        <v>94</v>
      </c>
      <c r="B25" s="2">
        <v>71</v>
      </c>
      <c r="C25" s="8">
        <v>1</v>
      </c>
      <c r="D25" s="8" t="s">
        <v>1</v>
      </c>
      <c r="E25" s="7">
        <v>111.42850212765958</v>
      </c>
    </row>
    <row r="26" spans="1:5" x14ac:dyDescent="0.25">
      <c r="A26" s="34" t="s">
        <v>17</v>
      </c>
      <c r="B26" s="2">
        <v>71</v>
      </c>
      <c r="C26" s="8">
        <v>299</v>
      </c>
      <c r="D26" s="8" t="s">
        <v>1</v>
      </c>
      <c r="E26" s="7">
        <v>9579.1355234042567</v>
      </c>
    </row>
    <row r="27" spans="1:5" x14ac:dyDescent="0.25">
      <c r="A27" s="34" t="s">
        <v>54</v>
      </c>
      <c r="B27" s="2">
        <v>71</v>
      </c>
      <c r="C27" s="8">
        <v>62</v>
      </c>
      <c r="D27" s="8" t="s">
        <v>1</v>
      </c>
      <c r="E27" s="7">
        <v>2633.0539914893625</v>
      </c>
    </row>
    <row r="28" spans="1:5" x14ac:dyDescent="0.25">
      <c r="A28" s="34" t="s">
        <v>5</v>
      </c>
      <c r="B28" s="2">
        <v>71</v>
      </c>
      <c r="C28" s="8">
        <v>449</v>
      </c>
      <c r="D28" s="8" t="s">
        <v>1</v>
      </c>
      <c r="E28" s="7">
        <v>19624.517514893629</v>
      </c>
    </row>
    <row r="29" spans="1:5" x14ac:dyDescent="0.25">
      <c r="A29" s="34" t="s">
        <v>88</v>
      </c>
      <c r="B29" s="2">
        <v>71</v>
      </c>
      <c r="C29" s="8">
        <v>5</v>
      </c>
      <c r="D29" s="8" t="s">
        <v>1</v>
      </c>
      <c r="E29" s="7">
        <v>350.09770212765972</v>
      </c>
    </row>
    <row r="30" spans="1:5" x14ac:dyDescent="0.25">
      <c r="A30" s="34" t="s">
        <v>50</v>
      </c>
      <c r="B30" s="2">
        <v>71</v>
      </c>
      <c r="C30" s="8">
        <v>1700</v>
      </c>
      <c r="D30" s="8" t="s">
        <v>1</v>
      </c>
      <c r="E30" s="7">
        <v>1777.6964890307042</v>
      </c>
    </row>
    <row r="31" spans="1:5" x14ac:dyDescent="0.25">
      <c r="A31" s="34" t="s">
        <v>82</v>
      </c>
      <c r="B31" s="2">
        <v>71</v>
      </c>
      <c r="C31" s="8">
        <v>27</v>
      </c>
      <c r="D31" s="8" t="s">
        <v>1</v>
      </c>
      <c r="E31" s="7">
        <v>571.84000851063854</v>
      </c>
    </row>
    <row r="32" spans="1:5" x14ac:dyDescent="0.25">
      <c r="A32" s="34" t="s">
        <v>20</v>
      </c>
      <c r="B32" s="2">
        <v>71</v>
      </c>
      <c r="C32" s="8">
        <v>149</v>
      </c>
      <c r="D32" s="8" t="s">
        <v>1</v>
      </c>
      <c r="E32" s="7">
        <v>9903.8841702127684</v>
      </c>
    </row>
    <row r="33" spans="1:5" x14ac:dyDescent="0.25">
      <c r="A33" s="34" t="s">
        <v>59</v>
      </c>
      <c r="B33" s="2">
        <v>71</v>
      </c>
      <c r="C33" s="8">
        <v>1</v>
      </c>
      <c r="D33" s="8" t="s">
        <v>1</v>
      </c>
      <c r="E33" s="7">
        <v>1204.8232595744685</v>
      </c>
    </row>
    <row r="34" spans="1:5" x14ac:dyDescent="0.25">
      <c r="A34" s="34" t="s">
        <v>30</v>
      </c>
      <c r="B34" s="2">
        <v>71</v>
      </c>
      <c r="C34" s="8">
        <v>442</v>
      </c>
      <c r="D34" s="8" t="s">
        <v>1</v>
      </c>
      <c r="E34" s="7">
        <v>5888.0268255319161</v>
      </c>
    </row>
    <row r="35" spans="1:5" x14ac:dyDescent="0.25">
      <c r="A35" s="34" t="s">
        <v>75</v>
      </c>
      <c r="B35" s="2">
        <v>71</v>
      </c>
      <c r="C35" s="8">
        <v>1</v>
      </c>
      <c r="D35" s="8" t="s">
        <v>1</v>
      </c>
      <c r="E35" s="7">
        <v>783.13718297872367</v>
      </c>
    </row>
    <row r="36" spans="1:5" x14ac:dyDescent="0.25">
      <c r="A36" s="31" t="s">
        <v>156</v>
      </c>
      <c r="B36" s="2">
        <v>71</v>
      </c>
      <c r="C36" s="8">
        <v>2500</v>
      </c>
      <c r="D36" s="8" t="s">
        <v>1</v>
      </c>
      <c r="E36" s="7">
        <v>14316.669230769232</v>
      </c>
    </row>
    <row r="37" spans="1:5" x14ac:dyDescent="0.25">
      <c r="A37" s="31" t="s">
        <v>152</v>
      </c>
      <c r="B37" s="2">
        <v>71</v>
      </c>
      <c r="C37" s="8">
        <v>2500</v>
      </c>
      <c r="D37" s="8" t="s">
        <v>1</v>
      </c>
      <c r="E37" s="7">
        <v>18611.048076923085</v>
      </c>
    </row>
    <row r="38" spans="1:5" x14ac:dyDescent="0.25">
      <c r="A38" s="31" t="s">
        <v>155</v>
      </c>
      <c r="B38" s="2">
        <v>71</v>
      </c>
      <c r="C38" s="2">
        <v>2400</v>
      </c>
      <c r="D38" s="2" t="s">
        <v>1</v>
      </c>
      <c r="E38" s="7">
        <v>8245.2073846153871</v>
      </c>
    </row>
    <row r="39" spans="1:5" x14ac:dyDescent="0.25">
      <c r="A39" s="31" t="s">
        <v>154</v>
      </c>
      <c r="B39" s="2">
        <v>71</v>
      </c>
      <c r="C39" s="8">
        <v>2400</v>
      </c>
      <c r="D39" s="8" t="s">
        <v>1</v>
      </c>
      <c r="E39" s="7">
        <v>9619.9061538461574</v>
      </c>
    </row>
    <row r="40" spans="1:5" x14ac:dyDescent="0.25">
      <c r="A40" s="31" t="s">
        <v>153</v>
      </c>
      <c r="B40" s="2">
        <v>71</v>
      </c>
      <c r="C40" s="8">
        <v>2400</v>
      </c>
      <c r="D40" s="8" t="s">
        <v>1</v>
      </c>
      <c r="E40" s="7">
        <v>11681.208000000001</v>
      </c>
    </row>
    <row r="41" spans="1:5" x14ac:dyDescent="0.25">
      <c r="A41" s="34" t="s">
        <v>48</v>
      </c>
      <c r="B41" s="2">
        <v>71</v>
      </c>
      <c r="C41" s="8">
        <v>2</v>
      </c>
      <c r="D41" s="8" t="s">
        <v>1</v>
      </c>
      <c r="E41" s="7">
        <v>1937.5822931977571</v>
      </c>
    </row>
    <row r="42" spans="1:5" x14ac:dyDescent="0.25">
      <c r="A42" s="34" t="s">
        <v>37</v>
      </c>
      <c r="B42" s="2">
        <v>71</v>
      </c>
      <c r="C42" s="8">
        <v>7</v>
      </c>
      <c r="D42" s="8" t="s">
        <v>1</v>
      </c>
      <c r="E42" s="7">
        <v>3424.3708367972567</v>
      </c>
    </row>
    <row r="43" spans="1:5" x14ac:dyDescent="0.25">
      <c r="A43" s="34" t="s">
        <v>92</v>
      </c>
      <c r="B43" s="2">
        <v>71</v>
      </c>
      <c r="C43" s="8">
        <v>46</v>
      </c>
      <c r="D43" s="8" t="s">
        <v>1</v>
      </c>
      <c r="E43" s="7">
        <v>139.90146382978728</v>
      </c>
    </row>
    <row r="44" spans="1:5" x14ac:dyDescent="0.25">
      <c r="A44" s="34" t="s">
        <v>10</v>
      </c>
      <c r="B44" s="2">
        <v>71</v>
      </c>
      <c r="C44" s="8">
        <v>7200</v>
      </c>
      <c r="D44" s="8" t="s">
        <v>1</v>
      </c>
      <c r="E44" s="7">
        <v>10893.920807533788</v>
      </c>
    </row>
    <row r="45" spans="1:5" x14ac:dyDescent="0.25">
      <c r="A45" s="34" t="s">
        <v>6</v>
      </c>
      <c r="B45" s="2">
        <v>71</v>
      </c>
      <c r="C45" s="8">
        <v>13</v>
      </c>
      <c r="D45" s="8" t="s">
        <v>1</v>
      </c>
      <c r="E45" s="7">
        <v>23707.752153191501</v>
      </c>
    </row>
    <row r="46" spans="1:5" x14ac:dyDescent="0.25">
      <c r="A46" s="34" t="s">
        <v>8</v>
      </c>
      <c r="B46" s="2">
        <v>71</v>
      </c>
      <c r="C46" s="8">
        <v>497</v>
      </c>
      <c r="D46" s="8" t="s">
        <v>1</v>
      </c>
      <c r="E46" s="7">
        <v>12564.28266382979</v>
      </c>
    </row>
    <row r="47" spans="1:5" x14ac:dyDescent="0.25">
      <c r="A47" s="34" t="s">
        <v>74</v>
      </c>
      <c r="B47" s="2">
        <v>71</v>
      </c>
      <c r="C47" s="8">
        <v>11</v>
      </c>
      <c r="D47" s="8" t="s">
        <v>1</v>
      </c>
      <c r="E47" s="7">
        <v>725.70960000000014</v>
      </c>
    </row>
    <row r="48" spans="1:5" x14ac:dyDescent="0.25">
      <c r="A48" s="34" t="s">
        <v>19</v>
      </c>
      <c r="B48" s="2">
        <v>71</v>
      </c>
      <c r="C48" s="8">
        <v>156</v>
      </c>
      <c r="D48" s="8" t="s">
        <v>1</v>
      </c>
      <c r="E48" s="7">
        <v>9199.1474042553218</v>
      </c>
    </row>
    <row r="49" spans="1:5" x14ac:dyDescent="0.25">
      <c r="A49" s="34" t="s">
        <v>70</v>
      </c>
      <c r="B49" s="2">
        <v>71</v>
      </c>
      <c r="C49" s="8">
        <v>9</v>
      </c>
      <c r="D49" s="8" t="s">
        <v>1</v>
      </c>
      <c r="E49" s="7">
        <v>919.13032340425571</v>
      </c>
    </row>
    <row r="50" spans="1:5" x14ac:dyDescent="0.25">
      <c r="A50" s="34" t="s">
        <v>56</v>
      </c>
      <c r="B50" s="2">
        <v>71</v>
      </c>
      <c r="C50" s="8">
        <v>139</v>
      </c>
      <c r="D50" s="8" t="s">
        <v>1</v>
      </c>
      <c r="E50" s="7">
        <v>1618.2936000000009</v>
      </c>
    </row>
    <row r="51" spans="1:5" x14ac:dyDescent="0.25">
      <c r="A51" s="34" t="s">
        <v>51</v>
      </c>
      <c r="B51" s="2">
        <v>71</v>
      </c>
      <c r="C51" s="8">
        <v>35</v>
      </c>
      <c r="D51" s="8" t="s">
        <v>1</v>
      </c>
      <c r="E51" s="7">
        <v>2032.6034042553201</v>
      </c>
    </row>
    <row r="52" spans="1:5" x14ac:dyDescent="0.25">
      <c r="A52" s="34" t="s">
        <v>58</v>
      </c>
      <c r="B52" s="2">
        <v>71</v>
      </c>
      <c r="C52" s="8">
        <v>7</v>
      </c>
      <c r="D52" s="8" t="s">
        <v>1</v>
      </c>
      <c r="E52" s="7">
        <v>1530.2324680851068</v>
      </c>
    </row>
    <row r="53" spans="1:5" x14ac:dyDescent="0.25">
      <c r="A53" s="34" t="s">
        <v>41</v>
      </c>
      <c r="B53" s="2">
        <v>71</v>
      </c>
      <c r="C53" s="8">
        <v>1149</v>
      </c>
      <c r="D53" s="8" t="s">
        <v>1</v>
      </c>
      <c r="E53" s="7">
        <v>2846.1952340425541</v>
      </c>
    </row>
    <row r="54" spans="1:5" x14ac:dyDescent="0.25">
      <c r="A54" s="34" t="s">
        <v>97</v>
      </c>
      <c r="B54" s="2">
        <v>71</v>
      </c>
      <c r="C54" s="8">
        <v>2</v>
      </c>
      <c r="D54" s="8" t="s">
        <v>1</v>
      </c>
      <c r="E54" s="7">
        <v>17.91773617021277</v>
      </c>
    </row>
    <row r="55" spans="1:5" x14ac:dyDescent="0.25">
      <c r="A55" s="34" t="s">
        <v>2</v>
      </c>
      <c r="B55" s="2">
        <v>71</v>
      </c>
      <c r="C55" s="8">
        <v>276</v>
      </c>
      <c r="D55" s="8" t="s">
        <v>1</v>
      </c>
      <c r="E55" s="7">
        <v>30264.294944680867</v>
      </c>
    </row>
    <row r="56" spans="1:5" x14ac:dyDescent="0.25">
      <c r="A56" s="34" t="s">
        <v>4</v>
      </c>
      <c r="B56" s="2">
        <v>71</v>
      </c>
      <c r="C56" s="8">
        <v>10608</v>
      </c>
      <c r="D56" s="8" t="s">
        <v>1</v>
      </c>
      <c r="E56" s="7">
        <v>24525.334876595753</v>
      </c>
    </row>
    <row r="57" spans="1:5" x14ac:dyDescent="0.25">
      <c r="A57" s="34" t="s">
        <v>3</v>
      </c>
      <c r="B57" s="2">
        <v>71</v>
      </c>
      <c r="C57" s="8">
        <v>10860</v>
      </c>
      <c r="D57" s="8" t="s">
        <v>1</v>
      </c>
      <c r="E57" s="7">
        <v>34075.075404255331</v>
      </c>
    </row>
    <row r="58" spans="1:5" x14ac:dyDescent="0.25">
      <c r="A58" s="34" t="s">
        <v>26</v>
      </c>
      <c r="B58" s="2">
        <v>71</v>
      </c>
      <c r="C58" s="8">
        <v>573</v>
      </c>
      <c r="D58" s="8" t="s">
        <v>1</v>
      </c>
      <c r="E58" s="7">
        <v>7317.7025361702135</v>
      </c>
    </row>
    <row r="59" spans="1:5" x14ac:dyDescent="0.25">
      <c r="A59" s="34" t="s">
        <v>33</v>
      </c>
      <c r="B59" s="2">
        <v>71</v>
      </c>
      <c r="C59" s="8">
        <v>3920</v>
      </c>
      <c r="D59" s="8" t="s">
        <v>1</v>
      </c>
      <c r="E59" s="7">
        <v>4486.7540265944608</v>
      </c>
    </row>
    <row r="60" spans="1:5" x14ac:dyDescent="0.25">
      <c r="A60" s="34" t="s">
        <v>14</v>
      </c>
      <c r="B60" s="2">
        <v>71</v>
      </c>
      <c r="C60" s="8">
        <v>676</v>
      </c>
      <c r="D60" s="8" t="s">
        <v>1</v>
      </c>
      <c r="E60" s="7">
        <v>9377.3339234042578</v>
      </c>
    </row>
    <row r="61" spans="1:5" x14ac:dyDescent="0.25">
      <c r="A61" s="34" t="s">
        <v>12</v>
      </c>
      <c r="B61" s="2">
        <v>71</v>
      </c>
      <c r="C61" s="8">
        <v>688</v>
      </c>
      <c r="D61" s="8" t="s">
        <v>1</v>
      </c>
      <c r="E61" s="7">
        <v>11238.576612765961</v>
      </c>
    </row>
    <row r="62" spans="1:5" x14ac:dyDescent="0.25">
      <c r="A62" s="34" t="s">
        <v>15</v>
      </c>
      <c r="B62" s="2">
        <v>71</v>
      </c>
      <c r="C62" s="8">
        <v>679</v>
      </c>
      <c r="D62" s="8" t="s">
        <v>1</v>
      </c>
      <c r="E62" s="7">
        <v>10035.666229787235</v>
      </c>
    </row>
    <row r="63" spans="1:5" x14ac:dyDescent="0.25">
      <c r="A63" s="34" t="s">
        <v>81</v>
      </c>
      <c r="B63" s="2">
        <v>71</v>
      </c>
      <c r="C63" s="8">
        <v>2</v>
      </c>
      <c r="D63" s="8" t="s">
        <v>1</v>
      </c>
      <c r="E63" s="7">
        <v>409.49407977103891</v>
      </c>
    </row>
    <row r="64" spans="1:5" x14ac:dyDescent="0.25">
      <c r="A64" s="34" t="s">
        <v>38</v>
      </c>
      <c r="B64" s="2">
        <v>71</v>
      </c>
      <c r="C64" s="8">
        <v>1426</v>
      </c>
      <c r="D64" s="8" t="s">
        <v>1</v>
      </c>
      <c r="E64" s="7">
        <v>7810.4265191489403</v>
      </c>
    </row>
    <row r="65" spans="1:5" x14ac:dyDescent="0.25">
      <c r="A65" s="34" t="s">
        <v>89</v>
      </c>
      <c r="B65" s="2">
        <v>71</v>
      </c>
      <c r="C65" s="8">
        <v>28</v>
      </c>
      <c r="D65" s="8" t="s">
        <v>1</v>
      </c>
      <c r="E65" s="7">
        <v>255.47223829787239</v>
      </c>
    </row>
    <row r="66" spans="1:5" x14ac:dyDescent="0.25">
      <c r="A66" s="34" t="s">
        <v>93</v>
      </c>
      <c r="B66" s="2">
        <v>71</v>
      </c>
      <c r="C66" s="8">
        <v>12</v>
      </c>
      <c r="D66" s="8" t="s">
        <v>1</v>
      </c>
      <c r="E66" s="7">
        <v>116.42400000000006</v>
      </c>
    </row>
    <row r="67" spans="1:5" x14ac:dyDescent="0.25">
      <c r="A67" s="34" t="s">
        <v>32</v>
      </c>
      <c r="B67" s="2">
        <v>71</v>
      </c>
      <c r="C67" s="8">
        <v>294</v>
      </c>
      <c r="D67" s="8" t="s">
        <v>1</v>
      </c>
      <c r="E67" s="7">
        <v>3402.6358978723415</v>
      </c>
    </row>
    <row r="68" spans="1:5" x14ac:dyDescent="0.25">
      <c r="A68" s="34" t="s">
        <v>91</v>
      </c>
      <c r="B68" s="2">
        <v>71</v>
      </c>
      <c r="C68" s="8">
        <v>9</v>
      </c>
      <c r="D68" s="8" t="s">
        <v>1</v>
      </c>
      <c r="E68" s="7">
        <v>124.84616170212769</v>
      </c>
    </row>
    <row r="69" spans="1:5" x14ac:dyDescent="0.25">
      <c r="A69" s="34" t="s">
        <v>65</v>
      </c>
      <c r="B69" s="2">
        <v>71</v>
      </c>
      <c r="C69" s="8">
        <v>27</v>
      </c>
      <c r="D69" s="8" t="s">
        <v>1</v>
      </c>
      <c r="E69" s="7">
        <v>995.05363404255354</v>
      </c>
    </row>
    <row r="70" spans="1:5" x14ac:dyDescent="0.25">
      <c r="A70" s="34" t="s">
        <v>66</v>
      </c>
      <c r="B70" s="2">
        <v>71</v>
      </c>
      <c r="C70" s="8">
        <v>24</v>
      </c>
      <c r="D70" s="8" t="s">
        <v>1</v>
      </c>
      <c r="E70" s="7">
        <v>1288.7558808510641</v>
      </c>
    </row>
    <row r="71" spans="1:5" x14ac:dyDescent="0.25">
      <c r="A71" s="34" t="s">
        <v>45</v>
      </c>
      <c r="B71" s="2">
        <v>71</v>
      </c>
      <c r="C71" s="8">
        <v>27</v>
      </c>
      <c r="D71" s="8" t="s">
        <v>1</v>
      </c>
      <c r="E71" s="7">
        <v>3183.2055574468086</v>
      </c>
    </row>
    <row r="72" spans="1:5" x14ac:dyDescent="0.25">
      <c r="A72" s="34" t="s">
        <v>61</v>
      </c>
      <c r="B72" s="2">
        <v>71</v>
      </c>
      <c r="C72" s="8">
        <v>99</v>
      </c>
      <c r="D72" s="8" t="s">
        <v>1</v>
      </c>
      <c r="E72" s="7">
        <v>1772.493472340426</v>
      </c>
    </row>
    <row r="73" spans="1:5" x14ac:dyDescent="0.25">
      <c r="A73" s="34" t="s">
        <v>90</v>
      </c>
      <c r="B73" s="2">
        <v>71</v>
      </c>
      <c r="C73" s="8">
        <v>13</v>
      </c>
      <c r="D73" s="8" t="s">
        <v>1</v>
      </c>
      <c r="E73" s="7">
        <v>376.41007659574473</v>
      </c>
    </row>
    <row r="74" spans="1:5" x14ac:dyDescent="0.25">
      <c r="A74" s="34" t="s">
        <v>62</v>
      </c>
      <c r="B74" s="2">
        <v>71</v>
      </c>
      <c r="C74" s="8">
        <v>52</v>
      </c>
      <c r="D74" s="8" t="s">
        <v>1</v>
      </c>
      <c r="E74" s="7">
        <v>1688.1204765957452</v>
      </c>
    </row>
    <row r="75" spans="1:5" x14ac:dyDescent="0.25">
      <c r="A75" s="34" t="s">
        <v>78</v>
      </c>
      <c r="B75" s="2">
        <v>71</v>
      </c>
      <c r="C75" s="8">
        <v>19</v>
      </c>
      <c r="D75" s="8" t="s">
        <v>1</v>
      </c>
      <c r="E75" s="7">
        <v>916.72202553191516</v>
      </c>
    </row>
    <row r="76" spans="1:5" x14ac:dyDescent="0.25">
      <c r="A76" s="34" t="s">
        <v>68</v>
      </c>
      <c r="B76" s="2">
        <v>71</v>
      </c>
      <c r="C76" s="8">
        <v>20</v>
      </c>
      <c r="D76" s="8" t="s">
        <v>1</v>
      </c>
      <c r="E76" s="7">
        <v>982.86076595744703</v>
      </c>
    </row>
    <row r="77" spans="1:5" x14ac:dyDescent="0.25">
      <c r="A77" s="34" t="s">
        <v>84</v>
      </c>
      <c r="B77" s="2">
        <v>71</v>
      </c>
      <c r="C77" s="8">
        <v>18</v>
      </c>
      <c r="D77" s="8" t="s">
        <v>1</v>
      </c>
      <c r="E77" s="7">
        <v>300.22529361702141</v>
      </c>
    </row>
    <row r="78" spans="1:5" x14ac:dyDescent="0.25">
      <c r="A78" s="34" t="s">
        <v>57</v>
      </c>
      <c r="B78" s="2">
        <v>71</v>
      </c>
      <c r="C78" s="8">
        <v>46</v>
      </c>
      <c r="D78" s="8" t="s">
        <v>1</v>
      </c>
      <c r="E78" s="7">
        <v>1549.0447148936173</v>
      </c>
    </row>
    <row r="79" spans="1:5" x14ac:dyDescent="0.25">
      <c r="A79" s="34" t="s">
        <v>83</v>
      </c>
      <c r="B79" s="2">
        <v>71</v>
      </c>
      <c r="C79" s="8">
        <v>14</v>
      </c>
      <c r="D79" s="8" t="s">
        <v>1</v>
      </c>
      <c r="E79" s="7">
        <v>573.94554893617044</v>
      </c>
    </row>
    <row r="80" spans="1:5" x14ac:dyDescent="0.25">
      <c r="A80" s="34" t="s">
        <v>39</v>
      </c>
      <c r="B80" s="2">
        <v>71</v>
      </c>
      <c r="C80" s="8">
        <v>72</v>
      </c>
      <c r="D80" s="8" t="s">
        <v>1</v>
      </c>
      <c r="E80" s="7">
        <v>4750.0992000000015</v>
      </c>
    </row>
    <row r="81" spans="1:5" x14ac:dyDescent="0.25">
      <c r="A81" s="34" t="s">
        <v>22</v>
      </c>
      <c r="B81" s="2">
        <v>71</v>
      </c>
      <c r="C81" s="8">
        <v>199</v>
      </c>
      <c r="D81" s="8" t="s">
        <v>1</v>
      </c>
      <c r="E81" s="7">
        <v>6427.4442638297896</v>
      </c>
    </row>
    <row r="82" spans="1:5" x14ac:dyDescent="0.25">
      <c r="A82" s="34" t="s">
        <v>71</v>
      </c>
      <c r="B82" s="2">
        <v>71</v>
      </c>
      <c r="C82" s="8">
        <v>22</v>
      </c>
      <c r="D82" s="8" t="s">
        <v>1</v>
      </c>
      <c r="E82" s="7">
        <v>1022.7146553191493</v>
      </c>
    </row>
    <row r="83" spans="1:5" x14ac:dyDescent="0.25">
      <c r="A83" s="34" t="s">
        <v>86</v>
      </c>
      <c r="B83" s="2">
        <v>71</v>
      </c>
      <c r="C83" s="8">
        <v>5</v>
      </c>
      <c r="D83" s="8" t="s">
        <v>1</v>
      </c>
      <c r="E83" s="7">
        <v>373.76782978723423</v>
      </c>
    </row>
    <row r="84" spans="1:5" x14ac:dyDescent="0.25">
      <c r="A84" s="34" t="s">
        <v>67</v>
      </c>
      <c r="B84" s="2">
        <v>71</v>
      </c>
      <c r="C84" s="8">
        <v>38</v>
      </c>
      <c r="D84" s="8" t="s">
        <v>1</v>
      </c>
      <c r="E84" s="7">
        <v>1140.0194042553196</v>
      </c>
    </row>
    <row r="85" spans="1:5" x14ac:dyDescent="0.25">
      <c r="A85" s="34" t="s">
        <v>55</v>
      </c>
      <c r="B85" s="2">
        <v>71</v>
      </c>
      <c r="C85" s="8">
        <v>40</v>
      </c>
      <c r="D85" s="8" t="s">
        <v>1</v>
      </c>
      <c r="E85" s="7">
        <v>1698.7445106382984</v>
      </c>
    </row>
    <row r="86" spans="1:5" x14ac:dyDescent="0.25">
      <c r="A86" s="34" t="s">
        <v>60</v>
      </c>
      <c r="B86" s="2">
        <v>71</v>
      </c>
      <c r="C86" s="8">
        <v>90</v>
      </c>
      <c r="D86" s="8" t="s">
        <v>1</v>
      </c>
      <c r="E86" s="7">
        <v>1342.5916595744682</v>
      </c>
    </row>
    <row r="87" spans="1:5" x14ac:dyDescent="0.25">
      <c r="A87" s="34" t="s">
        <v>43</v>
      </c>
      <c r="B87" s="2">
        <v>71</v>
      </c>
      <c r="C87" s="8">
        <v>111</v>
      </c>
      <c r="D87" s="8" t="s">
        <v>1</v>
      </c>
      <c r="E87" s="7">
        <v>3641.6766638297881</v>
      </c>
    </row>
    <row r="88" spans="1:5" x14ac:dyDescent="0.25">
      <c r="A88" s="34" t="s">
        <v>0</v>
      </c>
      <c r="B88" s="2">
        <v>71</v>
      </c>
      <c r="C88" s="8">
        <v>432</v>
      </c>
      <c r="D88" s="8" t="s">
        <v>1</v>
      </c>
      <c r="E88" s="7">
        <v>50503.244936170238</v>
      </c>
    </row>
    <row r="89" spans="1:5" x14ac:dyDescent="0.25">
      <c r="A89" s="34" t="s">
        <v>100</v>
      </c>
      <c r="B89" s="2">
        <v>71</v>
      </c>
      <c r="C89" s="8">
        <v>263</v>
      </c>
      <c r="D89" s="8" t="s">
        <v>1</v>
      </c>
      <c r="E89" s="7">
        <v>3945.914919378954</v>
      </c>
    </row>
    <row r="90" spans="1:5" x14ac:dyDescent="0.25">
      <c r="A90" s="34" t="s">
        <v>40</v>
      </c>
      <c r="B90" s="2">
        <v>71</v>
      </c>
      <c r="C90" s="8">
        <v>23</v>
      </c>
      <c r="D90" s="8" t="s">
        <v>1</v>
      </c>
      <c r="E90" s="7">
        <v>4366.3816595744684</v>
      </c>
    </row>
    <row r="91" spans="1:5" x14ac:dyDescent="0.25">
      <c r="A91" s="34" t="s">
        <v>85</v>
      </c>
      <c r="B91" s="2">
        <v>71</v>
      </c>
      <c r="C91" s="8">
        <v>54</v>
      </c>
      <c r="D91" s="8" t="s">
        <v>1</v>
      </c>
      <c r="E91" s="7">
        <v>436.21843404255338</v>
      </c>
    </row>
    <row r="92" spans="1:5" x14ac:dyDescent="0.25">
      <c r="A92" s="34" t="s">
        <v>77</v>
      </c>
      <c r="B92" s="2">
        <v>71</v>
      </c>
      <c r="C92" s="8">
        <v>83</v>
      </c>
      <c r="D92" s="8" t="s">
        <v>1</v>
      </c>
      <c r="E92" s="7">
        <v>670.48388936170238</v>
      </c>
    </row>
    <row r="93" spans="1:5" x14ac:dyDescent="0.25">
      <c r="A93" s="34" t="s">
        <v>47</v>
      </c>
      <c r="B93" s="2">
        <v>71</v>
      </c>
      <c r="C93" s="8">
        <v>302</v>
      </c>
      <c r="D93" s="8" t="s">
        <v>1</v>
      </c>
      <c r="E93" s="7">
        <v>2481.1523234042556</v>
      </c>
    </row>
    <row r="94" spans="1:5" x14ac:dyDescent="0.25">
      <c r="A94" s="34" t="s">
        <v>96</v>
      </c>
      <c r="B94" s="2">
        <v>71</v>
      </c>
      <c r="C94" s="8">
        <v>1</v>
      </c>
      <c r="D94" s="8" t="s">
        <v>1</v>
      </c>
      <c r="E94" s="7">
        <v>54.028442553191489</v>
      </c>
    </row>
    <row r="95" spans="1:5" x14ac:dyDescent="0.25">
      <c r="A95" s="34" t="s">
        <v>99</v>
      </c>
      <c r="B95" s="2">
        <v>71</v>
      </c>
      <c r="C95" s="8">
        <v>2</v>
      </c>
      <c r="D95" s="8" t="s">
        <v>1</v>
      </c>
      <c r="E95" s="7">
        <v>103.04762553191493</v>
      </c>
    </row>
    <row r="96" spans="1:5" x14ac:dyDescent="0.25">
      <c r="A96" s="34" t="s">
        <v>42</v>
      </c>
      <c r="B96" s="2">
        <v>71</v>
      </c>
      <c r="C96" s="8">
        <v>131</v>
      </c>
      <c r="D96" s="8" t="s">
        <v>1</v>
      </c>
      <c r="E96" s="7">
        <v>4115.7535404255332</v>
      </c>
    </row>
    <row r="97" spans="1:5" x14ac:dyDescent="0.25">
      <c r="A97" s="34" t="s">
        <v>31</v>
      </c>
      <c r="B97" s="2">
        <v>71</v>
      </c>
      <c r="C97" s="8">
        <v>195</v>
      </c>
      <c r="D97" s="8" t="s">
        <v>1</v>
      </c>
      <c r="E97" s="7">
        <v>5165.7989361702139</v>
      </c>
    </row>
    <row r="98" spans="1:5" x14ac:dyDescent="0.25">
      <c r="A98" s="34" t="s">
        <v>73</v>
      </c>
      <c r="B98" s="2">
        <v>71</v>
      </c>
      <c r="C98" s="8">
        <v>11</v>
      </c>
      <c r="D98" s="8" t="s">
        <v>1</v>
      </c>
      <c r="E98" s="7">
        <v>686.8052680851066</v>
      </c>
    </row>
    <row r="99" spans="1:5" x14ac:dyDescent="0.25">
      <c r="A99" s="34" t="s">
        <v>72</v>
      </c>
      <c r="B99" s="2">
        <v>71</v>
      </c>
      <c r="C99" s="8">
        <v>9</v>
      </c>
      <c r="D99" s="8" t="s">
        <v>1</v>
      </c>
      <c r="E99" s="7">
        <v>769.017676595745</v>
      </c>
    </row>
    <row r="100" spans="1:5" x14ac:dyDescent="0.25">
      <c r="A100" s="34" t="s">
        <v>80</v>
      </c>
      <c r="B100" s="2">
        <v>71</v>
      </c>
      <c r="C100" s="8">
        <v>10</v>
      </c>
      <c r="D100" s="8" t="s">
        <v>1</v>
      </c>
      <c r="E100" s="7">
        <v>531.47693617021275</v>
      </c>
    </row>
    <row r="101" spans="1:5" x14ac:dyDescent="0.25">
      <c r="A101" s="34" t="s">
        <v>69</v>
      </c>
      <c r="B101" s="2">
        <v>71</v>
      </c>
      <c r="C101" s="8">
        <v>38</v>
      </c>
      <c r="D101" s="8" t="s">
        <v>1</v>
      </c>
      <c r="E101" s="7">
        <v>900.51074042553205</v>
      </c>
    </row>
    <row r="102" spans="1:5" x14ac:dyDescent="0.25">
      <c r="A102" s="34" t="s">
        <v>46</v>
      </c>
      <c r="B102" s="2">
        <v>71</v>
      </c>
      <c r="C102" s="8">
        <v>167</v>
      </c>
      <c r="D102" s="8" t="s">
        <v>1</v>
      </c>
      <c r="E102" s="7">
        <v>2052.2964000000006</v>
      </c>
    </row>
    <row r="103" spans="1:5" x14ac:dyDescent="0.25">
      <c r="A103" s="34" t="s">
        <v>25</v>
      </c>
      <c r="B103" s="2">
        <v>71</v>
      </c>
      <c r="C103" s="8">
        <v>33</v>
      </c>
      <c r="D103" s="8" t="s">
        <v>1</v>
      </c>
      <c r="E103" s="7">
        <v>5732.1067404255336</v>
      </c>
    </row>
    <row r="104" spans="1:5" x14ac:dyDescent="0.25">
      <c r="A104" s="34" t="s">
        <v>49</v>
      </c>
      <c r="B104" s="2">
        <v>71</v>
      </c>
      <c r="C104" s="8">
        <v>146</v>
      </c>
      <c r="D104" s="8" t="s">
        <v>1</v>
      </c>
      <c r="E104" s="7">
        <v>1535.0353021276599</v>
      </c>
    </row>
    <row r="105" spans="1:5" x14ac:dyDescent="0.25">
      <c r="A105" s="34" t="s">
        <v>23</v>
      </c>
      <c r="B105" s="2">
        <v>71</v>
      </c>
      <c r="C105" s="8">
        <v>20</v>
      </c>
      <c r="D105" s="8" t="s">
        <v>1</v>
      </c>
      <c r="E105" s="7">
        <v>845.51897872340453</v>
      </c>
    </row>
    <row r="106" spans="1:5" x14ac:dyDescent="0.25">
      <c r="A106" s="34" t="s">
        <v>9</v>
      </c>
      <c r="B106" s="2">
        <v>71</v>
      </c>
      <c r="C106" s="8">
        <v>153</v>
      </c>
      <c r="D106" s="8" t="s">
        <v>1</v>
      </c>
      <c r="E106" s="7">
        <v>10222.398765957449</v>
      </c>
    </row>
    <row r="107" spans="1:5" x14ac:dyDescent="0.25">
      <c r="C107" s="1">
        <f>SUM(C2:C106)</f>
        <v>62075</v>
      </c>
      <c r="E107" s="24">
        <f t="shared" ref="E107" si="0">SUM(E2:E106)</f>
        <v>568418.66505590489</v>
      </c>
    </row>
    <row r="108" spans="1:5" s="5" customFormat="1" x14ac:dyDescent="0.25">
      <c r="B108" s="6"/>
    </row>
    <row r="109" spans="1:5" s="5" customFormat="1" x14ac:dyDescent="0.25">
      <c r="B109" s="6"/>
    </row>
    <row r="110" spans="1:5" s="5" customFormat="1" x14ac:dyDescent="0.25">
      <c r="B110" s="6"/>
    </row>
    <row r="111" spans="1:5" s="5" customFormat="1" x14ac:dyDescent="0.25">
      <c r="B111" s="6"/>
    </row>
    <row r="112" spans="1:5" s="5" customFormat="1" x14ac:dyDescent="0.25">
      <c r="B112" s="6"/>
    </row>
    <row r="113" spans="2:2" s="5" customFormat="1" x14ac:dyDescent="0.25">
      <c r="B113" s="6"/>
    </row>
    <row r="114" spans="2:2" s="5" customFormat="1" x14ac:dyDescent="0.25">
      <c r="B114" s="6"/>
    </row>
    <row r="115" spans="2:2" s="5" customFormat="1" x14ac:dyDescent="0.25">
      <c r="B115" s="6"/>
    </row>
    <row r="116" spans="2:2" s="5" customFormat="1" x14ac:dyDescent="0.25">
      <c r="B116" s="6"/>
    </row>
    <row r="117" spans="2:2" s="5" customFormat="1" x14ac:dyDescent="0.25">
      <c r="B117" s="6"/>
    </row>
    <row r="118" spans="2:2" s="5" customFormat="1" x14ac:dyDescent="0.25">
      <c r="B118" s="6"/>
    </row>
    <row r="119" spans="2:2" s="5" customFormat="1" x14ac:dyDescent="0.25">
      <c r="B119" s="6"/>
    </row>
    <row r="120" spans="2:2" s="5" customFormat="1" x14ac:dyDescent="0.25">
      <c r="B120" s="6"/>
    </row>
    <row r="121" spans="2:2" s="5" customFormat="1" x14ac:dyDescent="0.25">
      <c r="B121" s="6"/>
    </row>
    <row r="122" spans="2:2" s="5" customFormat="1" x14ac:dyDescent="0.25">
      <c r="B122" s="6"/>
    </row>
    <row r="123" spans="2:2" s="5" customFormat="1" x14ac:dyDescent="0.25">
      <c r="B123" s="6"/>
    </row>
    <row r="124" spans="2:2" s="5" customFormat="1" x14ac:dyDescent="0.25">
      <c r="B124" s="6"/>
    </row>
    <row r="125" spans="2:2" s="5" customFormat="1" x14ac:dyDescent="0.25">
      <c r="B125" s="6"/>
    </row>
    <row r="126" spans="2:2" s="5" customFormat="1" x14ac:dyDescent="0.25">
      <c r="B126" s="6"/>
    </row>
    <row r="127" spans="2:2" s="5" customFormat="1" x14ac:dyDescent="0.25">
      <c r="B127" s="6"/>
    </row>
    <row r="128" spans="2:2" s="5" customFormat="1" x14ac:dyDescent="0.25">
      <c r="B128" s="6"/>
    </row>
    <row r="129" spans="2:2" s="5" customFormat="1" x14ac:dyDescent="0.25">
      <c r="B129" s="6"/>
    </row>
    <row r="130" spans="2:2" s="5" customFormat="1" x14ac:dyDescent="0.25">
      <c r="B130" s="6"/>
    </row>
    <row r="131" spans="2:2" s="5" customFormat="1" x14ac:dyDescent="0.25">
      <c r="B131" s="6"/>
    </row>
    <row r="132" spans="2:2" s="5" customFormat="1" x14ac:dyDescent="0.25">
      <c r="B132" s="6"/>
    </row>
    <row r="133" spans="2:2" s="5" customFormat="1" x14ac:dyDescent="0.25">
      <c r="B133" s="6"/>
    </row>
    <row r="134" spans="2:2" s="5" customFormat="1" x14ac:dyDescent="0.25">
      <c r="B134" s="6"/>
    </row>
    <row r="135" spans="2:2" s="5" customFormat="1" x14ac:dyDescent="0.25">
      <c r="B135" s="6"/>
    </row>
    <row r="136" spans="2:2" s="5" customFormat="1" x14ac:dyDescent="0.25">
      <c r="B136" s="6"/>
    </row>
    <row r="137" spans="2:2" s="5" customFormat="1" x14ac:dyDescent="0.25">
      <c r="B137" s="6"/>
    </row>
    <row r="138" spans="2:2" s="5" customFormat="1" x14ac:dyDescent="0.25">
      <c r="B138" s="6"/>
    </row>
    <row r="139" spans="2:2" s="5" customFormat="1" x14ac:dyDescent="0.25">
      <c r="B139" s="6"/>
    </row>
    <row r="140" spans="2:2" s="5" customFormat="1" x14ac:dyDescent="0.25">
      <c r="B140" s="6"/>
    </row>
    <row r="141" spans="2:2" s="5" customFormat="1" x14ac:dyDescent="0.25">
      <c r="B141" s="6"/>
    </row>
    <row r="142" spans="2:2" s="5" customFormat="1" x14ac:dyDescent="0.25">
      <c r="B142" s="6"/>
    </row>
    <row r="143" spans="2:2" s="5" customFormat="1" x14ac:dyDescent="0.25">
      <c r="B143" s="6"/>
    </row>
    <row r="144" spans="2:2" s="5" customFormat="1" x14ac:dyDescent="0.25">
      <c r="B144" s="6"/>
    </row>
    <row r="145" spans="2:2" s="5" customFormat="1" x14ac:dyDescent="0.25">
      <c r="B145" s="6"/>
    </row>
    <row r="146" spans="2:2" s="5" customFormat="1" x14ac:dyDescent="0.25">
      <c r="B146" s="6"/>
    </row>
    <row r="147" spans="2:2" s="5" customFormat="1" x14ac:dyDescent="0.25">
      <c r="B147" s="6"/>
    </row>
    <row r="148" spans="2:2" s="5" customFormat="1" x14ac:dyDescent="0.25">
      <c r="B148" s="6"/>
    </row>
    <row r="149" spans="2:2" s="5" customFormat="1" x14ac:dyDescent="0.25">
      <c r="B149" s="6"/>
    </row>
    <row r="150" spans="2:2" s="5" customFormat="1" x14ac:dyDescent="0.25">
      <c r="B150" s="6"/>
    </row>
    <row r="151" spans="2:2" s="5" customFormat="1" x14ac:dyDescent="0.25">
      <c r="B151" s="6"/>
    </row>
    <row r="152" spans="2:2" s="5" customFormat="1" x14ac:dyDescent="0.25">
      <c r="B152" s="6"/>
    </row>
    <row r="153" spans="2:2" s="5" customFormat="1" x14ac:dyDescent="0.25">
      <c r="B153" s="6"/>
    </row>
    <row r="154" spans="2:2" s="5" customFormat="1" x14ac:dyDescent="0.25">
      <c r="B154" s="6"/>
    </row>
    <row r="155" spans="2:2" s="5" customFormat="1" x14ac:dyDescent="0.25">
      <c r="B155" s="6"/>
    </row>
    <row r="156" spans="2:2" s="5" customFormat="1" x14ac:dyDescent="0.25">
      <c r="B156" s="6"/>
    </row>
  </sheetData>
  <autoFilter ref="A1:E106">
    <sortState ref="A2:E107">
      <sortCondition ref="A1:A106"/>
    </sortState>
  </autoFilter>
  <phoneticPr fontId="20" type="noConversion"/>
  <pageMargins left="0.7" right="0.7" top="0.75" bottom="0.75" header="0.3" footer="0.3"/>
  <pageSetup paperSize="9" scale="8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zoomScale="75" zoomScaleNormal="75" workbookViewId="0">
      <selection activeCell="B97" sqref="B97"/>
    </sheetView>
  </sheetViews>
  <sheetFormatPr defaultColWidth="10.7109375" defaultRowHeight="15" x14ac:dyDescent="0.25"/>
  <cols>
    <col min="1" max="1" width="55.85546875" customWidth="1"/>
    <col min="2" max="2" width="15.28515625" customWidth="1"/>
    <col min="3" max="3" width="9.28515625" bestFit="1" customWidth="1"/>
    <col min="4" max="4" width="29" bestFit="1" customWidth="1"/>
    <col min="5" max="5" width="31.42578125" customWidth="1"/>
    <col min="6" max="6" width="9.140625" style="15" customWidth="1"/>
  </cols>
  <sheetData>
    <row r="2" spans="1:6" x14ac:dyDescent="0.25">
      <c r="A2" s="36" t="s">
        <v>211</v>
      </c>
      <c r="B2" s="37"/>
      <c r="C2" s="37"/>
      <c r="D2" s="37"/>
      <c r="E2" s="37"/>
      <c r="F2" s="38"/>
    </row>
    <row r="3" spans="1:6" x14ac:dyDescent="0.25">
      <c r="A3" s="39" t="s">
        <v>208</v>
      </c>
      <c r="B3" s="40"/>
      <c r="C3" s="40"/>
      <c r="D3" s="40"/>
      <c r="E3" s="40"/>
      <c r="F3" s="41"/>
    </row>
    <row r="5" spans="1:6" s="1" customFormat="1" x14ac:dyDescent="0.25">
      <c r="A5" s="25" t="s">
        <v>164</v>
      </c>
      <c r="B5" s="25" t="s">
        <v>165</v>
      </c>
      <c r="C5" s="25" t="s">
        <v>166</v>
      </c>
      <c r="D5" s="29" t="s">
        <v>212</v>
      </c>
      <c r="E5" s="26" t="s">
        <v>162</v>
      </c>
      <c r="F5" s="25" t="s">
        <v>203</v>
      </c>
    </row>
    <row r="6" spans="1:6" x14ac:dyDescent="0.25">
      <c r="A6" s="31" t="s">
        <v>101</v>
      </c>
      <c r="B6" s="3">
        <v>800</v>
      </c>
      <c r="C6" s="3" t="s">
        <v>1</v>
      </c>
      <c r="D6" s="7">
        <v>99.783200000000008</v>
      </c>
      <c r="E6" s="4"/>
      <c r="F6" s="3">
        <v>1</v>
      </c>
    </row>
    <row r="7" spans="1:6" x14ac:dyDescent="0.25">
      <c r="A7" s="31" t="s">
        <v>102</v>
      </c>
      <c r="B7" s="3">
        <v>1200</v>
      </c>
      <c r="C7" s="3" t="s">
        <v>1</v>
      </c>
      <c r="D7" s="7">
        <v>305.54304000000008</v>
      </c>
      <c r="E7" s="4"/>
      <c r="F7" s="3">
        <v>2</v>
      </c>
    </row>
    <row r="8" spans="1:6" x14ac:dyDescent="0.25">
      <c r="A8" s="31" t="s">
        <v>177</v>
      </c>
      <c r="B8" s="3">
        <v>50</v>
      </c>
      <c r="C8" s="3" t="s">
        <v>1</v>
      </c>
      <c r="D8" s="7">
        <v>907.96026953209935</v>
      </c>
      <c r="E8" s="4"/>
      <c r="F8" s="3">
        <v>4</v>
      </c>
    </row>
    <row r="9" spans="1:6" x14ac:dyDescent="0.25">
      <c r="A9" s="31" t="s">
        <v>163</v>
      </c>
      <c r="B9" s="3">
        <v>2600</v>
      </c>
      <c r="C9" s="3" t="s">
        <v>1</v>
      </c>
      <c r="D9" s="7">
        <v>315.34931999999998</v>
      </c>
      <c r="E9" s="4"/>
      <c r="F9" s="3">
        <v>5</v>
      </c>
    </row>
    <row r="10" spans="1:6" x14ac:dyDescent="0.25">
      <c r="A10" s="31" t="s">
        <v>103</v>
      </c>
      <c r="B10" s="3">
        <v>10</v>
      </c>
      <c r="C10" s="3" t="s">
        <v>1</v>
      </c>
      <c r="D10" s="7">
        <v>66.024650999999992</v>
      </c>
      <c r="E10" s="4"/>
      <c r="F10" s="3">
        <v>6</v>
      </c>
    </row>
    <row r="11" spans="1:6" x14ac:dyDescent="0.25">
      <c r="A11" s="31" t="s">
        <v>167</v>
      </c>
      <c r="B11" s="3">
        <v>0</v>
      </c>
      <c r="C11" s="3" t="s">
        <v>1</v>
      </c>
      <c r="D11" s="7">
        <v>1116.7911315244824</v>
      </c>
      <c r="E11" s="4"/>
      <c r="F11" s="3">
        <v>7</v>
      </c>
    </row>
    <row r="12" spans="1:6" x14ac:dyDescent="0.25">
      <c r="A12" s="31" t="s">
        <v>104</v>
      </c>
      <c r="B12" s="3">
        <v>1500</v>
      </c>
      <c r="C12" s="3" t="s">
        <v>1</v>
      </c>
      <c r="D12" s="7">
        <v>565.15139999999997</v>
      </c>
      <c r="E12" s="4"/>
      <c r="F12" s="3">
        <v>8</v>
      </c>
    </row>
    <row r="13" spans="1:6" x14ac:dyDescent="0.25">
      <c r="A13" s="31" t="s">
        <v>145</v>
      </c>
      <c r="B13" s="3">
        <v>3750</v>
      </c>
      <c r="C13" s="3" t="s">
        <v>1</v>
      </c>
      <c r="D13" s="7">
        <v>3228.0549527145372</v>
      </c>
      <c r="E13" s="4"/>
      <c r="F13" s="3">
        <v>9</v>
      </c>
    </row>
    <row r="14" spans="1:6" x14ac:dyDescent="0.25">
      <c r="A14" s="31" t="s">
        <v>105</v>
      </c>
      <c r="B14" s="3">
        <v>15</v>
      </c>
      <c r="C14" s="3" t="s">
        <v>1</v>
      </c>
      <c r="D14" s="7">
        <v>182.90002500000003</v>
      </c>
      <c r="E14" s="4"/>
      <c r="F14" s="3">
        <v>10</v>
      </c>
    </row>
    <row r="15" spans="1:6" x14ac:dyDescent="0.25">
      <c r="A15" s="31" t="s">
        <v>178</v>
      </c>
      <c r="B15" s="3">
        <v>100</v>
      </c>
      <c r="C15" s="3" t="s">
        <v>1</v>
      </c>
      <c r="D15" s="7">
        <v>327.47814</v>
      </c>
      <c r="E15" s="4"/>
      <c r="F15" s="3">
        <v>11</v>
      </c>
    </row>
    <row r="16" spans="1:6" x14ac:dyDescent="0.25">
      <c r="A16" s="31" t="s">
        <v>157</v>
      </c>
      <c r="B16" s="3">
        <v>40</v>
      </c>
      <c r="C16" s="3" t="s">
        <v>1</v>
      </c>
      <c r="D16" s="7">
        <v>983.87955599999987</v>
      </c>
      <c r="E16" s="4"/>
      <c r="F16" s="3">
        <v>15</v>
      </c>
    </row>
    <row r="17" spans="1:6" x14ac:dyDescent="0.25">
      <c r="A17" s="31" t="s">
        <v>106</v>
      </c>
      <c r="B17" s="3">
        <v>500</v>
      </c>
      <c r="C17" s="3" t="s">
        <v>1</v>
      </c>
      <c r="D17" s="7">
        <v>230.10350000000003</v>
      </c>
      <c r="E17" s="4"/>
      <c r="F17" s="3">
        <v>16</v>
      </c>
    </row>
    <row r="18" spans="1:6" x14ac:dyDescent="0.25">
      <c r="A18" s="31" t="s">
        <v>168</v>
      </c>
      <c r="B18" s="3">
        <v>16.8</v>
      </c>
      <c r="C18" s="3" t="s">
        <v>169</v>
      </c>
      <c r="D18" s="7">
        <v>720.70521600000006</v>
      </c>
      <c r="E18" s="4"/>
      <c r="F18" s="3">
        <v>17</v>
      </c>
    </row>
    <row r="19" spans="1:6" x14ac:dyDescent="0.25">
      <c r="A19" s="31" t="s">
        <v>107</v>
      </c>
      <c r="B19" s="3">
        <v>216</v>
      </c>
      <c r="C19" s="3" t="s">
        <v>1</v>
      </c>
      <c r="D19" s="7">
        <v>3027.8489471999997</v>
      </c>
      <c r="E19" s="4"/>
      <c r="F19" s="3">
        <v>20</v>
      </c>
    </row>
    <row r="20" spans="1:6" x14ac:dyDescent="0.25">
      <c r="A20" s="31" t="s">
        <v>107</v>
      </c>
      <c r="B20" s="3">
        <v>42</v>
      </c>
      <c r="C20" s="3" t="s">
        <v>1</v>
      </c>
      <c r="D20" s="7">
        <v>588.74840639999991</v>
      </c>
      <c r="E20" s="4"/>
      <c r="F20" s="3">
        <v>21</v>
      </c>
    </row>
    <row r="21" spans="1:6" x14ac:dyDescent="0.25">
      <c r="A21" s="31" t="s">
        <v>108</v>
      </c>
      <c r="B21" s="3">
        <v>24</v>
      </c>
      <c r="C21" s="3" t="s">
        <v>1</v>
      </c>
      <c r="D21" s="7">
        <v>328.87166399999995</v>
      </c>
      <c r="E21" s="4"/>
      <c r="F21" s="3">
        <v>24</v>
      </c>
    </row>
    <row r="22" spans="1:6" x14ac:dyDescent="0.25">
      <c r="A22" s="31" t="s">
        <v>109</v>
      </c>
      <c r="B22" s="3">
        <v>3</v>
      </c>
      <c r="C22" s="3" t="s">
        <v>1</v>
      </c>
      <c r="D22" s="7">
        <v>248.47307100000003</v>
      </c>
      <c r="E22" s="4"/>
      <c r="F22" s="3">
        <v>24</v>
      </c>
    </row>
    <row r="23" spans="1:6" x14ac:dyDescent="0.25">
      <c r="A23" s="31" t="s">
        <v>110</v>
      </c>
      <c r="B23" s="3">
        <v>5</v>
      </c>
      <c r="C23" s="3" t="s">
        <v>1</v>
      </c>
      <c r="D23" s="7">
        <v>53.61626600000001</v>
      </c>
      <c r="E23" s="4"/>
      <c r="F23" s="3">
        <v>24</v>
      </c>
    </row>
    <row r="24" spans="1:6" x14ac:dyDescent="0.25">
      <c r="A24" s="31" t="s">
        <v>111</v>
      </c>
      <c r="B24" s="3">
        <v>1</v>
      </c>
      <c r="C24" s="3" t="s">
        <v>1</v>
      </c>
      <c r="D24" s="7">
        <v>244.76990999999995</v>
      </c>
      <c r="E24" s="4"/>
      <c r="F24" s="3">
        <v>24</v>
      </c>
    </row>
    <row r="25" spans="1:6" x14ac:dyDescent="0.25">
      <c r="A25" s="31" t="s">
        <v>112</v>
      </c>
      <c r="B25" s="3">
        <v>0</v>
      </c>
      <c r="C25" s="3" t="s">
        <v>1</v>
      </c>
      <c r="D25" s="7">
        <v>0</v>
      </c>
      <c r="E25" s="27" t="s">
        <v>200</v>
      </c>
      <c r="F25" s="3">
        <v>25</v>
      </c>
    </row>
    <row r="26" spans="1:6" x14ac:dyDescent="0.25">
      <c r="A26" s="31" t="s">
        <v>113</v>
      </c>
      <c r="B26" s="3">
        <v>80</v>
      </c>
      <c r="C26" s="3" t="s">
        <v>1</v>
      </c>
      <c r="D26" s="7">
        <v>144.47919199999998</v>
      </c>
      <c r="E26" s="4"/>
      <c r="F26" s="3">
        <v>28</v>
      </c>
    </row>
    <row r="27" spans="1:6" x14ac:dyDescent="0.25">
      <c r="A27" s="31" t="s">
        <v>114</v>
      </c>
      <c r="B27" s="3">
        <v>120</v>
      </c>
      <c r="C27" s="3" t="s">
        <v>1</v>
      </c>
      <c r="D27" s="7">
        <v>129.44289600000002</v>
      </c>
      <c r="E27" s="4"/>
      <c r="F27" s="3">
        <v>28</v>
      </c>
    </row>
    <row r="28" spans="1:6" x14ac:dyDescent="0.25">
      <c r="A28" s="31" t="s">
        <v>115</v>
      </c>
      <c r="B28" s="3">
        <v>4800</v>
      </c>
      <c r="C28" s="3" t="s">
        <v>1</v>
      </c>
      <c r="D28" s="7">
        <v>76.385760000000019</v>
      </c>
      <c r="E28" s="4"/>
      <c r="F28" s="3">
        <v>28</v>
      </c>
    </row>
    <row r="29" spans="1:6" x14ac:dyDescent="0.25">
      <c r="A29" s="31" t="s">
        <v>116</v>
      </c>
      <c r="B29" s="3">
        <v>300</v>
      </c>
      <c r="C29" s="3" t="s">
        <v>1</v>
      </c>
      <c r="D29" s="7">
        <v>88.514579999999995</v>
      </c>
      <c r="E29" s="4"/>
      <c r="F29" s="3">
        <v>29</v>
      </c>
    </row>
    <row r="30" spans="1:6" x14ac:dyDescent="0.25">
      <c r="A30" s="31" t="s">
        <v>117</v>
      </c>
      <c r="B30" s="3">
        <v>10</v>
      </c>
      <c r="C30" s="3" t="s">
        <v>1</v>
      </c>
      <c r="D30" s="7">
        <v>25.633959999999998</v>
      </c>
      <c r="E30" s="4"/>
      <c r="F30" s="3">
        <v>29</v>
      </c>
    </row>
    <row r="31" spans="1:6" x14ac:dyDescent="0.25">
      <c r="A31" s="31" t="s">
        <v>118</v>
      </c>
      <c r="B31" s="3">
        <v>20</v>
      </c>
      <c r="C31" s="3" t="s">
        <v>1</v>
      </c>
      <c r="D31" s="7">
        <v>24.524302000000002</v>
      </c>
      <c r="E31" s="4"/>
      <c r="F31" s="3">
        <v>29</v>
      </c>
    </row>
    <row r="32" spans="1:6" x14ac:dyDescent="0.25">
      <c r="A32" s="31" t="s">
        <v>119</v>
      </c>
      <c r="B32" s="3">
        <v>50</v>
      </c>
      <c r="C32" s="3" t="s">
        <v>1</v>
      </c>
      <c r="D32" s="7">
        <v>394.98233499999998</v>
      </c>
      <c r="E32" s="4"/>
      <c r="F32" s="3">
        <v>35</v>
      </c>
    </row>
    <row r="33" spans="1:6" x14ac:dyDescent="0.25">
      <c r="A33" s="31" t="s">
        <v>120</v>
      </c>
      <c r="B33" s="3">
        <v>3</v>
      </c>
      <c r="C33" s="3" t="s">
        <v>1</v>
      </c>
      <c r="D33" s="7">
        <v>37.001933100000002</v>
      </c>
      <c r="E33" s="4"/>
      <c r="F33" s="3">
        <v>35</v>
      </c>
    </row>
    <row r="34" spans="1:6" x14ac:dyDescent="0.25">
      <c r="A34" s="31" t="s">
        <v>121</v>
      </c>
      <c r="B34" s="3">
        <v>5000</v>
      </c>
      <c r="C34" s="3" t="s">
        <v>1</v>
      </c>
      <c r="D34" s="7">
        <v>150.535</v>
      </c>
      <c r="E34" s="4"/>
      <c r="F34" s="3">
        <v>35</v>
      </c>
    </row>
    <row r="35" spans="1:6" x14ac:dyDescent="0.25">
      <c r="A35" s="31" t="s">
        <v>122</v>
      </c>
      <c r="B35" s="3">
        <v>90</v>
      </c>
      <c r="C35" s="3" t="s">
        <v>1</v>
      </c>
      <c r="D35" s="7">
        <v>103.50786600000001</v>
      </c>
      <c r="E35" s="4"/>
      <c r="F35" s="3">
        <v>36</v>
      </c>
    </row>
    <row r="36" spans="1:6" x14ac:dyDescent="0.25">
      <c r="A36" s="31" t="s">
        <v>123</v>
      </c>
      <c r="B36" s="3">
        <v>2400</v>
      </c>
      <c r="C36" s="3" t="s">
        <v>1</v>
      </c>
      <c r="D36" s="7">
        <v>107.35295999999998</v>
      </c>
      <c r="E36" s="4"/>
      <c r="F36" s="3">
        <v>36</v>
      </c>
    </row>
    <row r="37" spans="1:6" x14ac:dyDescent="0.25">
      <c r="A37" s="31" t="s">
        <v>170</v>
      </c>
      <c r="B37" s="3">
        <v>36000</v>
      </c>
      <c r="C37" s="3" t="s">
        <v>1</v>
      </c>
      <c r="D37" s="7">
        <v>2019.6</v>
      </c>
      <c r="E37" s="4"/>
      <c r="F37" s="3">
        <v>38</v>
      </c>
    </row>
    <row r="38" spans="1:6" x14ac:dyDescent="0.25">
      <c r="A38" s="31" t="s">
        <v>124</v>
      </c>
      <c r="B38" s="3">
        <v>1000</v>
      </c>
      <c r="C38" s="3" t="s">
        <v>1</v>
      </c>
      <c r="D38" s="7">
        <v>1630.5091</v>
      </c>
      <c r="E38" s="4"/>
      <c r="F38" s="3">
        <v>40</v>
      </c>
    </row>
    <row r="39" spans="1:6" x14ac:dyDescent="0.25">
      <c r="A39" s="32" t="s">
        <v>171</v>
      </c>
      <c r="B39" s="3">
        <v>600</v>
      </c>
      <c r="C39" s="3" t="s">
        <v>1</v>
      </c>
      <c r="D39" s="7">
        <v>563.10523811104838</v>
      </c>
      <c r="E39" s="4"/>
      <c r="F39" s="3">
        <v>41</v>
      </c>
    </row>
    <row r="40" spans="1:6" x14ac:dyDescent="0.25">
      <c r="A40" s="31" t="s">
        <v>158</v>
      </c>
      <c r="B40" s="3">
        <v>8</v>
      </c>
      <c r="C40" s="3" t="s">
        <v>1</v>
      </c>
      <c r="D40" s="7">
        <v>841.49999999999989</v>
      </c>
      <c r="E40" s="4"/>
      <c r="F40" s="3">
        <v>42</v>
      </c>
    </row>
    <row r="41" spans="1:6" x14ac:dyDescent="0.25">
      <c r="A41" s="31" t="s">
        <v>172</v>
      </c>
      <c r="B41" s="3">
        <v>13500</v>
      </c>
      <c r="C41" s="3" t="s">
        <v>1</v>
      </c>
      <c r="D41" s="7">
        <v>10489.354428147841</v>
      </c>
      <c r="E41" s="4"/>
      <c r="F41" s="3">
        <v>43</v>
      </c>
    </row>
    <row r="42" spans="1:6" x14ac:dyDescent="0.25">
      <c r="A42" s="31" t="s">
        <v>173</v>
      </c>
      <c r="B42" s="3">
        <v>100000</v>
      </c>
      <c r="C42" s="3" t="s">
        <v>1</v>
      </c>
      <c r="D42" s="7">
        <v>3225.7499999999995</v>
      </c>
      <c r="E42" s="4"/>
      <c r="F42" s="3">
        <v>44</v>
      </c>
    </row>
    <row r="43" spans="1:6" x14ac:dyDescent="0.25">
      <c r="A43" s="31" t="s">
        <v>112</v>
      </c>
      <c r="B43" s="3">
        <v>0</v>
      </c>
      <c r="C43" s="3" t="s">
        <v>1</v>
      </c>
      <c r="D43" s="7">
        <v>0</v>
      </c>
      <c r="E43" s="27" t="s">
        <v>200</v>
      </c>
      <c r="F43" s="3">
        <v>45</v>
      </c>
    </row>
    <row r="44" spans="1:6" x14ac:dyDescent="0.25">
      <c r="A44" s="31" t="s">
        <v>112</v>
      </c>
      <c r="B44" s="3">
        <v>0</v>
      </c>
      <c r="C44" s="3" t="s">
        <v>1</v>
      </c>
      <c r="D44" s="7">
        <v>0</v>
      </c>
      <c r="E44" s="27" t="s">
        <v>200</v>
      </c>
      <c r="F44" s="3">
        <v>46</v>
      </c>
    </row>
    <row r="45" spans="1:6" x14ac:dyDescent="0.25">
      <c r="A45" s="31" t="s">
        <v>112</v>
      </c>
      <c r="B45" s="3">
        <v>0</v>
      </c>
      <c r="C45" s="3" t="s">
        <v>1</v>
      </c>
      <c r="D45" s="7">
        <v>0</v>
      </c>
      <c r="E45" s="27" t="s">
        <v>200</v>
      </c>
      <c r="F45" s="3">
        <v>47</v>
      </c>
    </row>
    <row r="46" spans="1:6" x14ac:dyDescent="0.25">
      <c r="A46" s="31" t="s">
        <v>112</v>
      </c>
      <c r="B46" s="3">
        <v>0</v>
      </c>
      <c r="C46" s="3" t="s">
        <v>1</v>
      </c>
      <c r="D46" s="7">
        <v>0</v>
      </c>
      <c r="E46" s="27" t="s">
        <v>200</v>
      </c>
      <c r="F46" s="3">
        <v>48</v>
      </c>
    </row>
    <row r="47" spans="1:6" x14ac:dyDescent="0.25">
      <c r="A47" s="31" t="s">
        <v>174</v>
      </c>
      <c r="B47" s="3" t="s">
        <v>209</v>
      </c>
      <c r="C47" s="3" t="s">
        <v>1</v>
      </c>
      <c r="D47" s="7">
        <v>563.10523811104838</v>
      </c>
      <c r="E47" s="4"/>
      <c r="F47" s="3">
        <v>49</v>
      </c>
    </row>
    <row r="48" spans="1:6" x14ac:dyDescent="0.25">
      <c r="A48" s="31" t="s">
        <v>125</v>
      </c>
      <c r="B48" s="3">
        <v>120</v>
      </c>
      <c r="C48" s="3" t="s">
        <v>1</v>
      </c>
      <c r="D48" s="7">
        <v>175.48080000000002</v>
      </c>
      <c r="E48" s="4"/>
      <c r="F48" s="3">
        <v>50</v>
      </c>
    </row>
    <row r="49" spans="1:6" x14ac:dyDescent="0.25">
      <c r="A49" s="31" t="s">
        <v>126</v>
      </c>
      <c r="B49" s="3">
        <v>15000</v>
      </c>
      <c r="C49" s="3" t="s">
        <v>1</v>
      </c>
      <c r="D49" s="7">
        <v>483.8624999999999</v>
      </c>
      <c r="E49" s="4"/>
      <c r="F49" s="3">
        <v>51</v>
      </c>
    </row>
    <row r="50" spans="1:6" x14ac:dyDescent="0.25">
      <c r="A50" s="31" t="s">
        <v>146</v>
      </c>
      <c r="B50" s="3">
        <v>24000</v>
      </c>
      <c r="C50" s="3" t="s">
        <v>1</v>
      </c>
      <c r="D50" s="7">
        <v>239.06678399999998</v>
      </c>
      <c r="E50" s="4"/>
      <c r="F50" s="3">
        <v>58</v>
      </c>
    </row>
    <row r="51" spans="1:6" x14ac:dyDescent="0.25">
      <c r="A51" s="31" t="s">
        <v>147</v>
      </c>
      <c r="B51" s="3">
        <v>40</v>
      </c>
      <c r="C51" s="3" t="s">
        <v>1</v>
      </c>
      <c r="D51" s="7">
        <v>168.5992</v>
      </c>
      <c r="E51" s="4"/>
      <c r="F51" s="3">
        <v>61</v>
      </c>
    </row>
    <row r="52" spans="1:6" x14ac:dyDescent="0.25">
      <c r="A52" s="31" t="s">
        <v>127</v>
      </c>
      <c r="B52" s="3">
        <v>150</v>
      </c>
      <c r="C52" s="3" t="s">
        <v>1</v>
      </c>
      <c r="D52" s="7">
        <v>280.12412999999998</v>
      </c>
      <c r="E52" s="4"/>
      <c r="F52" s="3">
        <v>66</v>
      </c>
    </row>
    <row r="53" spans="1:6" x14ac:dyDescent="0.25">
      <c r="A53" s="31" t="s">
        <v>128</v>
      </c>
      <c r="B53" s="3">
        <v>15</v>
      </c>
      <c r="C53" s="3" t="s">
        <v>1</v>
      </c>
      <c r="D53" s="7">
        <v>132.37187699999998</v>
      </c>
      <c r="E53" s="4"/>
      <c r="F53" s="3">
        <v>67</v>
      </c>
    </row>
    <row r="54" spans="1:6" x14ac:dyDescent="0.25">
      <c r="A54" s="31" t="s">
        <v>204</v>
      </c>
      <c r="B54" s="3">
        <v>48000</v>
      </c>
      <c r="C54" s="3" t="s">
        <v>1</v>
      </c>
      <c r="D54" s="7">
        <v>343.69463039999999</v>
      </c>
      <c r="E54" s="4"/>
      <c r="F54" s="3">
        <v>68</v>
      </c>
    </row>
    <row r="55" spans="1:6" x14ac:dyDescent="0.25">
      <c r="A55" s="31" t="s">
        <v>129</v>
      </c>
      <c r="B55" s="3">
        <v>2800</v>
      </c>
      <c r="C55" s="3" t="s">
        <v>1</v>
      </c>
      <c r="D55" s="7">
        <v>791.21196000000009</v>
      </c>
      <c r="E55" s="4"/>
      <c r="F55" s="3">
        <v>69</v>
      </c>
    </row>
    <row r="56" spans="1:6" x14ac:dyDescent="0.25">
      <c r="A56" s="31" t="s">
        <v>141</v>
      </c>
      <c r="B56" s="3" t="s">
        <v>209</v>
      </c>
      <c r="C56" s="3" t="s">
        <v>1</v>
      </c>
      <c r="D56" s="7">
        <v>318.68100000000004</v>
      </c>
      <c r="E56" s="4"/>
      <c r="F56" s="3">
        <v>70</v>
      </c>
    </row>
    <row r="57" spans="1:6" x14ac:dyDescent="0.25">
      <c r="A57" s="31" t="s">
        <v>130</v>
      </c>
      <c r="B57" s="3">
        <v>250</v>
      </c>
      <c r="C57" s="3" t="s">
        <v>1</v>
      </c>
      <c r="D57" s="7">
        <v>149.24469999999999</v>
      </c>
      <c r="E57" s="4"/>
      <c r="F57" s="3">
        <v>71</v>
      </c>
    </row>
    <row r="58" spans="1:6" x14ac:dyDescent="0.25">
      <c r="A58" s="31" t="s">
        <v>175</v>
      </c>
      <c r="B58" s="3" t="s">
        <v>209</v>
      </c>
      <c r="C58" s="3" t="s">
        <v>1</v>
      </c>
      <c r="D58" s="7">
        <v>393.55555555555566</v>
      </c>
      <c r="E58" s="4"/>
      <c r="F58" s="3">
        <v>74</v>
      </c>
    </row>
    <row r="59" spans="1:6" x14ac:dyDescent="0.25">
      <c r="A59" s="31" t="s">
        <v>181</v>
      </c>
      <c r="B59" s="3">
        <v>5200</v>
      </c>
      <c r="C59" s="3" t="s">
        <v>1</v>
      </c>
      <c r="D59" s="7">
        <v>1961.3732611193177</v>
      </c>
      <c r="E59" s="4"/>
      <c r="F59" s="3">
        <v>75</v>
      </c>
    </row>
    <row r="60" spans="1:6" x14ac:dyDescent="0.25">
      <c r="A60" s="31" t="s">
        <v>148</v>
      </c>
      <c r="B60" s="3">
        <v>9600</v>
      </c>
      <c r="C60" s="3" t="s">
        <v>1</v>
      </c>
      <c r="D60" s="7">
        <v>2751.3235200000008</v>
      </c>
      <c r="E60" s="4"/>
      <c r="F60" s="3">
        <v>76</v>
      </c>
    </row>
    <row r="61" spans="1:6" x14ac:dyDescent="0.25">
      <c r="A61" s="32" t="s">
        <v>131</v>
      </c>
      <c r="B61" s="3">
        <v>3500</v>
      </c>
      <c r="C61" s="3" t="s">
        <v>1</v>
      </c>
      <c r="D61" s="7">
        <v>11139.590000000002</v>
      </c>
      <c r="E61" s="4"/>
      <c r="F61" s="3">
        <v>77</v>
      </c>
    </row>
    <row r="62" spans="1:6" x14ac:dyDescent="0.25">
      <c r="A62" s="31" t="s">
        <v>202</v>
      </c>
      <c r="B62" s="3" t="s">
        <v>209</v>
      </c>
      <c r="C62" s="3" t="s">
        <v>1</v>
      </c>
      <c r="D62" s="7">
        <v>381.33333333333337</v>
      </c>
      <c r="E62" s="4"/>
      <c r="F62" s="3">
        <v>78</v>
      </c>
    </row>
    <row r="63" spans="1:6" x14ac:dyDescent="0.25">
      <c r="A63" s="33" t="s">
        <v>201</v>
      </c>
      <c r="B63" s="3" t="s">
        <v>209</v>
      </c>
      <c r="C63" s="3" t="s">
        <v>1</v>
      </c>
      <c r="D63" s="7">
        <v>343.20000000000005</v>
      </c>
      <c r="E63" s="4"/>
      <c r="F63" s="3">
        <v>80</v>
      </c>
    </row>
    <row r="64" spans="1:6" x14ac:dyDescent="0.25">
      <c r="A64" s="31" t="s">
        <v>132</v>
      </c>
      <c r="B64" s="3">
        <v>10000</v>
      </c>
      <c r="C64" s="3" t="s">
        <v>1</v>
      </c>
      <c r="D64" s="7">
        <v>2838.6600000000003</v>
      </c>
      <c r="E64" s="4"/>
      <c r="F64" s="3">
        <v>81</v>
      </c>
    </row>
    <row r="65" spans="1:6" x14ac:dyDescent="0.25">
      <c r="A65" s="31" t="s">
        <v>205</v>
      </c>
      <c r="B65" s="3">
        <v>72000</v>
      </c>
      <c r="C65" s="3" t="s">
        <v>1</v>
      </c>
      <c r="D65" s="7">
        <v>6952.0000000000009</v>
      </c>
      <c r="E65" s="4"/>
      <c r="F65" s="3">
        <v>82</v>
      </c>
    </row>
    <row r="66" spans="1:6" x14ac:dyDescent="0.25">
      <c r="A66" s="31" t="s">
        <v>206</v>
      </c>
      <c r="B66" s="3">
        <v>72000</v>
      </c>
      <c r="C66" s="3" t="s">
        <v>1</v>
      </c>
      <c r="D66" s="7">
        <v>14340.919037199124</v>
      </c>
      <c r="E66" s="4"/>
      <c r="F66" s="3">
        <v>83</v>
      </c>
    </row>
    <row r="67" spans="1:6" x14ac:dyDescent="0.25">
      <c r="A67" s="31" t="s">
        <v>179</v>
      </c>
      <c r="B67" s="3">
        <v>2000</v>
      </c>
      <c r="C67" s="3" t="s">
        <v>1</v>
      </c>
      <c r="D67" s="7">
        <v>3850.7040000000006</v>
      </c>
      <c r="E67" s="4"/>
      <c r="F67" s="3">
        <v>84</v>
      </c>
    </row>
    <row r="68" spans="1:6" x14ac:dyDescent="0.25">
      <c r="A68" s="31" t="s">
        <v>180</v>
      </c>
      <c r="B68" s="3">
        <v>3200</v>
      </c>
      <c r="C68" s="3" t="s">
        <v>1</v>
      </c>
      <c r="D68" s="7">
        <v>2928.8089599999998</v>
      </c>
      <c r="E68" s="4"/>
      <c r="F68" s="3">
        <v>85</v>
      </c>
    </row>
    <row r="69" spans="1:6" x14ac:dyDescent="0.25">
      <c r="A69" s="31" t="s">
        <v>182</v>
      </c>
      <c r="B69" s="3">
        <v>1500</v>
      </c>
      <c r="C69" s="3" t="s">
        <v>1</v>
      </c>
      <c r="D69" s="7">
        <v>203.48348348348347</v>
      </c>
      <c r="E69" s="4"/>
      <c r="F69" s="3">
        <v>86</v>
      </c>
    </row>
    <row r="70" spans="1:6" x14ac:dyDescent="0.25">
      <c r="A70" s="31" t="s">
        <v>112</v>
      </c>
      <c r="B70" s="3">
        <v>0</v>
      </c>
      <c r="C70" s="3" t="s">
        <v>1</v>
      </c>
      <c r="D70" s="7">
        <v>0</v>
      </c>
      <c r="E70" s="27" t="s">
        <v>200</v>
      </c>
      <c r="F70" s="3">
        <v>87</v>
      </c>
    </row>
    <row r="71" spans="1:6" x14ac:dyDescent="0.25">
      <c r="A71" s="31" t="s">
        <v>133</v>
      </c>
      <c r="B71" s="3">
        <v>5</v>
      </c>
      <c r="C71" s="3" t="s">
        <v>1</v>
      </c>
      <c r="D71" s="7">
        <v>188.76000000000005</v>
      </c>
      <c r="E71" s="4"/>
      <c r="F71" s="3">
        <v>88</v>
      </c>
    </row>
    <row r="72" spans="1:6" x14ac:dyDescent="0.25">
      <c r="A72" s="31" t="s">
        <v>159</v>
      </c>
      <c r="B72" s="3">
        <v>30</v>
      </c>
      <c r="C72" s="3" t="s">
        <v>210</v>
      </c>
      <c r="D72" s="7">
        <v>6013.3333333333339</v>
      </c>
      <c r="E72" s="4"/>
      <c r="F72" s="3">
        <v>90</v>
      </c>
    </row>
    <row r="73" spans="1:6" x14ac:dyDescent="0.25">
      <c r="A73" s="31" t="s">
        <v>149</v>
      </c>
      <c r="B73" s="3">
        <v>18000</v>
      </c>
      <c r="C73" s="3" t="s">
        <v>1</v>
      </c>
      <c r="D73" s="7">
        <v>3316.5871200000006</v>
      </c>
      <c r="E73" s="4"/>
      <c r="F73" s="3">
        <v>91</v>
      </c>
    </row>
    <row r="74" spans="1:6" x14ac:dyDescent="0.25">
      <c r="A74" s="31" t="s">
        <v>108</v>
      </c>
      <c r="B74" s="3">
        <v>122</v>
      </c>
      <c r="C74" s="3" t="s">
        <v>1</v>
      </c>
      <c r="D74" s="7">
        <v>1829.1808920000001</v>
      </c>
      <c r="E74" s="4"/>
      <c r="F74" s="3">
        <v>92</v>
      </c>
    </row>
    <row r="75" spans="1:6" x14ac:dyDescent="0.25">
      <c r="A75" s="31" t="s">
        <v>134</v>
      </c>
      <c r="B75" s="3">
        <v>540</v>
      </c>
      <c r="C75" s="3" t="s">
        <v>1</v>
      </c>
      <c r="D75" s="7">
        <v>1333.3333333333333</v>
      </c>
      <c r="E75" s="4"/>
      <c r="F75" s="3">
        <v>93</v>
      </c>
    </row>
    <row r="76" spans="1:6" x14ac:dyDescent="0.25">
      <c r="A76" s="31" t="s">
        <v>185</v>
      </c>
      <c r="B76" s="3">
        <v>32400</v>
      </c>
      <c r="C76" s="3" t="s">
        <v>1</v>
      </c>
      <c r="D76" s="7">
        <v>4942.0800000000008</v>
      </c>
      <c r="E76" s="4"/>
      <c r="F76" s="3">
        <v>94</v>
      </c>
    </row>
    <row r="77" spans="1:6" x14ac:dyDescent="0.25">
      <c r="A77" s="31" t="s">
        <v>186</v>
      </c>
      <c r="B77" s="3">
        <v>32400</v>
      </c>
      <c r="C77" s="3" t="s">
        <v>1</v>
      </c>
      <c r="D77" s="7">
        <v>4942.0800000000008</v>
      </c>
      <c r="E77" s="4"/>
      <c r="F77" s="3">
        <v>95</v>
      </c>
    </row>
    <row r="78" spans="1:6" x14ac:dyDescent="0.25">
      <c r="A78" s="31" t="s">
        <v>150</v>
      </c>
      <c r="B78" s="3">
        <v>13500</v>
      </c>
      <c r="C78" s="3" t="s">
        <v>1</v>
      </c>
      <c r="D78" s="7">
        <v>5251.2629400000014</v>
      </c>
      <c r="E78" s="4"/>
      <c r="F78" s="3">
        <v>96</v>
      </c>
    </row>
    <row r="79" spans="1:6" x14ac:dyDescent="0.25">
      <c r="A79" s="31" t="s">
        <v>184</v>
      </c>
      <c r="B79" s="3">
        <v>840</v>
      </c>
      <c r="C79" s="3" t="s">
        <v>1</v>
      </c>
      <c r="D79" s="7">
        <v>297.52799999999996</v>
      </c>
      <c r="E79" s="4"/>
      <c r="F79" s="3">
        <v>97</v>
      </c>
    </row>
    <row r="80" spans="1:6" x14ac:dyDescent="0.25">
      <c r="A80" s="31" t="s">
        <v>160</v>
      </c>
      <c r="B80" s="3">
        <v>28</v>
      </c>
      <c r="C80" s="3" t="s">
        <v>1</v>
      </c>
      <c r="D80" s="7">
        <v>537.10888</v>
      </c>
      <c r="E80" s="4"/>
      <c r="F80" s="3">
        <v>98</v>
      </c>
    </row>
    <row r="81" spans="1:6" x14ac:dyDescent="0.25">
      <c r="A81" s="31" t="s">
        <v>161</v>
      </c>
      <c r="B81" s="3">
        <v>4000</v>
      </c>
      <c r="C81" s="3" t="s">
        <v>1</v>
      </c>
      <c r="D81" s="7">
        <v>3950</v>
      </c>
      <c r="E81" s="4"/>
      <c r="F81" s="3">
        <v>99</v>
      </c>
    </row>
    <row r="82" spans="1:6" x14ac:dyDescent="0.25">
      <c r="A82" s="31" t="s">
        <v>135</v>
      </c>
      <c r="B82" s="3">
        <v>9600</v>
      </c>
      <c r="C82" s="3" t="s">
        <v>1</v>
      </c>
      <c r="D82" s="7">
        <v>1738.2921599999997</v>
      </c>
      <c r="E82" s="4"/>
      <c r="F82" s="3">
        <v>102</v>
      </c>
    </row>
    <row r="83" spans="1:6" x14ac:dyDescent="0.25">
      <c r="A83" s="31" t="s">
        <v>136</v>
      </c>
      <c r="B83" s="3">
        <v>3500</v>
      </c>
      <c r="C83" s="3" t="s">
        <v>1</v>
      </c>
      <c r="D83" s="7">
        <v>8731.0299999999988</v>
      </c>
      <c r="E83" s="4"/>
      <c r="F83" s="3">
        <v>103</v>
      </c>
    </row>
    <row r="84" spans="1:6" x14ac:dyDescent="0.25">
      <c r="A84" s="31" t="s">
        <v>137</v>
      </c>
      <c r="B84" s="3">
        <v>3500</v>
      </c>
      <c r="C84" s="3" t="s">
        <v>1</v>
      </c>
      <c r="D84" s="7">
        <v>19569.550000000003</v>
      </c>
      <c r="E84" s="4"/>
      <c r="F84" s="3">
        <v>104</v>
      </c>
    </row>
    <row r="85" spans="1:6" x14ac:dyDescent="0.25">
      <c r="A85" s="31" t="s">
        <v>138</v>
      </c>
      <c r="B85" s="3">
        <v>20000</v>
      </c>
      <c r="C85" s="3" t="s">
        <v>1</v>
      </c>
      <c r="D85" s="7">
        <v>4017.134</v>
      </c>
      <c r="E85" s="4"/>
      <c r="F85" s="3">
        <v>105</v>
      </c>
    </row>
    <row r="86" spans="1:6" x14ac:dyDescent="0.25">
      <c r="A86" s="31" t="s">
        <v>183</v>
      </c>
      <c r="B86" s="3">
        <v>7200</v>
      </c>
      <c r="C86" s="3" t="s">
        <v>1</v>
      </c>
      <c r="D86" s="7">
        <v>1942.5972989808001</v>
      </c>
      <c r="E86" s="4"/>
      <c r="F86" s="3">
        <v>107</v>
      </c>
    </row>
    <row r="87" spans="1:6" x14ac:dyDescent="0.25">
      <c r="A87" s="31" t="s">
        <v>139</v>
      </c>
      <c r="B87" s="3">
        <v>4000</v>
      </c>
      <c r="C87" s="3" t="s">
        <v>1</v>
      </c>
      <c r="D87" s="7">
        <v>4050</v>
      </c>
      <c r="E87" s="4"/>
      <c r="F87" s="3">
        <v>108</v>
      </c>
    </row>
    <row r="88" spans="1:6" x14ac:dyDescent="0.25">
      <c r="A88" s="31" t="s">
        <v>151</v>
      </c>
      <c r="B88" s="3">
        <v>7200</v>
      </c>
      <c r="C88" s="3" t="s">
        <v>1</v>
      </c>
      <c r="D88" s="7">
        <v>1483.19424</v>
      </c>
      <c r="E88" s="4"/>
      <c r="F88" s="3">
        <v>109</v>
      </c>
    </row>
    <row r="89" spans="1:6" x14ac:dyDescent="0.25">
      <c r="A89" s="31" t="s">
        <v>140</v>
      </c>
      <c r="B89" s="3">
        <v>122400</v>
      </c>
      <c r="C89" s="3" t="s">
        <v>1</v>
      </c>
      <c r="D89" s="7">
        <v>893.05688735999991</v>
      </c>
      <c r="E89" s="4"/>
      <c r="F89" s="3">
        <v>111</v>
      </c>
    </row>
    <row r="90" spans="1:6" x14ac:dyDescent="0.25">
      <c r="A90" s="31" t="s">
        <v>176</v>
      </c>
      <c r="B90" s="3" t="s">
        <v>209</v>
      </c>
      <c r="C90" s="3" t="s">
        <v>1</v>
      </c>
      <c r="D90" s="7">
        <v>564.66666666666674</v>
      </c>
      <c r="E90" s="4"/>
      <c r="F90" s="3">
        <v>115</v>
      </c>
    </row>
    <row r="91" spans="1:6" x14ac:dyDescent="0.25">
      <c r="A91" s="31" t="s">
        <v>176</v>
      </c>
      <c r="B91" s="3" t="s">
        <v>209</v>
      </c>
      <c r="C91" s="3" t="s">
        <v>1</v>
      </c>
      <c r="D91" s="7">
        <v>564.66666666666674</v>
      </c>
      <c r="E91" s="4"/>
      <c r="F91" s="3">
        <v>116</v>
      </c>
    </row>
    <row r="92" spans="1:6" x14ac:dyDescent="0.25">
      <c r="A92" s="31" t="s">
        <v>176</v>
      </c>
      <c r="B92" s="3" t="s">
        <v>209</v>
      </c>
      <c r="C92" s="3" t="s">
        <v>1</v>
      </c>
      <c r="D92" s="7">
        <v>564.66666666666674</v>
      </c>
      <c r="E92" s="4"/>
      <c r="F92" s="3">
        <v>117</v>
      </c>
    </row>
    <row r="93" spans="1:6" x14ac:dyDescent="0.25">
      <c r="A93" s="31" t="s">
        <v>142</v>
      </c>
      <c r="B93" s="3">
        <v>3500</v>
      </c>
      <c r="C93" s="3" t="s">
        <v>1</v>
      </c>
      <c r="D93" s="7">
        <v>4817.12</v>
      </c>
      <c r="E93" s="4"/>
      <c r="F93" s="3">
        <v>118</v>
      </c>
    </row>
    <row r="94" spans="1:6" x14ac:dyDescent="0.25">
      <c r="A94" s="31" t="s">
        <v>143</v>
      </c>
      <c r="B94" s="3">
        <v>500</v>
      </c>
      <c r="C94" s="3" t="s">
        <v>1</v>
      </c>
      <c r="D94" s="7">
        <v>910.73674999999992</v>
      </c>
      <c r="E94" s="4"/>
      <c r="F94" s="3">
        <v>119</v>
      </c>
    </row>
    <row r="95" spans="1:6" x14ac:dyDescent="0.25">
      <c r="A95" s="31" t="s">
        <v>144</v>
      </c>
      <c r="B95" s="3">
        <v>10000</v>
      </c>
      <c r="C95" s="3" t="s">
        <v>1</v>
      </c>
      <c r="D95" s="7">
        <v>2606.4060000000004</v>
      </c>
      <c r="E95" s="4"/>
      <c r="F95" s="3">
        <v>120</v>
      </c>
    </row>
    <row r="96" spans="1:6" x14ac:dyDescent="0.25">
      <c r="A96" s="31" t="s">
        <v>207</v>
      </c>
      <c r="B96" s="3">
        <v>1000</v>
      </c>
      <c r="C96" s="3" t="s">
        <v>1</v>
      </c>
      <c r="D96" s="7">
        <v>398.27260000000001</v>
      </c>
      <c r="E96" s="4"/>
      <c r="F96" s="3">
        <v>121</v>
      </c>
    </row>
    <row r="97" spans="1:6" s="5" customFormat="1" x14ac:dyDescent="0.25">
      <c r="A97" s="28"/>
      <c r="B97" s="42">
        <f>SUM(B6:B96)</f>
        <v>738493.8</v>
      </c>
      <c r="C97" s="28"/>
      <c r="D97" s="30">
        <f t="shared" ref="D97" si="0">SUM(D6:D96)</f>
        <v>170777.27062193927</v>
      </c>
      <c r="E97" s="4"/>
      <c r="F97" s="3"/>
    </row>
    <row r="98" spans="1:6" s="5" customFormat="1" x14ac:dyDescent="0.25">
      <c r="F98" s="6"/>
    </row>
    <row r="99" spans="1:6" s="5" customFormat="1" x14ac:dyDescent="0.25">
      <c r="F99" s="6"/>
    </row>
    <row r="100" spans="1:6" s="5" customFormat="1" x14ac:dyDescent="0.25">
      <c r="F100" s="6"/>
    </row>
    <row r="101" spans="1:6" s="5" customFormat="1" x14ac:dyDescent="0.25">
      <c r="F101" s="6"/>
    </row>
    <row r="102" spans="1:6" s="5" customFormat="1" x14ac:dyDescent="0.25">
      <c r="F102" s="6"/>
    </row>
    <row r="103" spans="1:6" s="5" customFormat="1" x14ac:dyDescent="0.25">
      <c r="F103" s="6"/>
    </row>
    <row r="104" spans="1:6" s="5" customFormat="1" x14ac:dyDescent="0.25">
      <c r="F104" s="6"/>
    </row>
    <row r="105" spans="1:6" s="5" customFormat="1" x14ac:dyDescent="0.25">
      <c r="F105" s="6"/>
    </row>
    <row r="106" spans="1:6" s="5" customFormat="1" x14ac:dyDescent="0.25">
      <c r="F106" s="6"/>
    </row>
    <row r="107" spans="1:6" s="5" customFormat="1" x14ac:dyDescent="0.25">
      <c r="F107" s="6"/>
    </row>
    <row r="108" spans="1:6" s="5" customFormat="1" x14ac:dyDescent="0.25">
      <c r="F108" s="6"/>
    </row>
    <row r="109" spans="1:6" s="5" customFormat="1" x14ac:dyDescent="0.25">
      <c r="F109" s="6"/>
    </row>
    <row r="110" spans="1:6" s="5" customFormat="1" x14ac:dyDescent="0.25">
      <c r="F110" s="6"/>
    </row>
    <row r="111" spans="1:6" s="5" customFormat="1" x14ac:dyDescent="0.25">
      <c r="F111" s="6"/>
    </row>
    <row r="112" spans="1:6" s="5" customFormat="1" x14ac:dyDescent="0.25">
      <c r="F112" s="6"/>
    </row>
    <row r="113" spans="6:6" s="5" customFormat="1" x14ac:dyDescent="0.25">
      <c r="F113" s="6"/>
    </row>
    <row r="114" spans="6:6" s="5" customFormat="1" x14ac:dyDescent="0.25">
      <c r="F114" s="6"/>
    </row>
    <row r="115" spans="6:6" s="5" customFormat="1" x14ac:dyDescent="0.25">
      <c r="F115" s="6"/>
    </row>
    <row r="116" spans="6:6" s="5" customFormat="1" x14ac:dyDescent="0.25">
      <c r="F116" s="6"/>
    </row>
    <row r="117" spans="6:6" s="5" customFormat="1" x14ac:dyDescent="0.25">
      <c r="F117" s="6"/>
    </row>
    <row r="118" spans="6:6" s="5" customFormat="1" x14ac:dyDescent="0.25">
      <c r="F118" s="6"/>
    </row>
    <row r="119" spans="6:6" s="5" customFormat="1" x14ac:dyDescent="0.25">
      <c r="F119" s="6"/>
    </row>
    <row r="120" spans="6:6" s="5" customFormat="1" x14ac:dyDescent="0.25">
      <c r="F120" s="6"/>
    </row>
    <row r="121" spans="6:6" s="5" customFormat="1" x14ac:dyDescent="0.25">
      <c r="F121" s="6"/>
    </row>
    <row r="122" spans="6:6" s="5" customFormat="1" x14ac:dyDescent="0.25">
      <c r="F122" s="6"/>
    </row>
    <row r="123" spans="6:6" s="5" customFormat="1" x14ac:dyDescent="0.25">
      <c r="F123" s="6"/>
    </row>
    <row r="124" spans="6:6" s="5" customFormat="1" x14ac:dyDescent="0.25">
      <c r="F124" s="6"/>
    </row>
    <row r="125" spans="6:6" s="5" customFormat="1" x14ac:dyDescent="0.25">
      <c r="F125" s="6"/>
    </row>
    <row r="126" spans="6:6" s="5" customFormat="1" x14ac:dyDescent="0.25">
      <c r="F126" s="6"/>
    </row>
    <row r="127" spans="6:6" s="5" customFormat="1" x14ac:dyDescent="0.25">
      <c r="F127" s="6"/>
    </row>
    <row r="128" spans="6:6" s="5" customFormat="1" x14ac:dyDescent="0.25">
      <c r="F128" s="6"/>
    </row>
    <row r="129" spans="6:6" s="5" customFormat="1" x14ac:dyDescent="0.25">
      <c r="F129" s="6"/>
    </row>
    <row r="130" spans="6:6" s="5" customFormat="1" x14ac:dyDescent="0.25">
      <c r="F130" s="6"/>
    </row>
    <row r="131" spans="6:6" s="5" customFormat="1" x14ac:dyDescent="0.25">
      <c r="F131" s="6"/>
    </row>
    <row r="132" spans="6:6" s="5" customFormat="1" x14ac:dyDescent="0.25">
      <c r="F132" s="6"/>
    </row>
    <row r="133" spans="6:6" s="5" customFormat="1" x14ac:dyDescent="0.25">
      <c r="F133" s="6"/>
    </row>
    <row r="134" spans="6:6" s="5" customFormat="1" x14ac:dyDescent="0.25">
      <c r="F134" s="6"/>
    </row>
    <row r="135" spans="6:6" s="5" customFormat="1" x14ac:dyDescent="0.25">
      <c r="F135" s="6"/>
    </row>
    <row r="136" spans="6:6" s="5" customFormat="1" x14ac:dyDescent="0.25">
      <c r="F136" s="6"/>
    </row>
    <row r="137" spans="6:6" s="5" customFormat="1" x14ac:dyDescent="0.25">
      <c r="F137" s="6"/>
    </row>
    <row r="138" spans="6:6" s="5" customFormat="1" x14ac:dyDescent="0.25">
      <c r="F138" s="6"/>
    </row>
    <row r="139" spans="6:6" s="5" customFormat="1" x14ac:dyDescent="0.25">
      <c r="F139" s="6"/>
    </row>
    <row r="140" spans="6:6" s="5" customFormat="1" x14ac:dyDescent="0.25">
      <c r="F140" s="6"/>
    </row>
    <row r="141" spans="6:6" s="5" customFormat="1" x14ac:dyDescent="0.25">
      <c r="F141" s="6"/>
    </row>
    <row r="142" spans="6:6" s="5" customFormat="1" x14ac:dyDescent="0.25">
      <c r="F142" s="6"/>
    </row>
    <row r="143" spans="6:6" s="5" customFormat="1" x14ac:dyDescent="0.25">
      <c r="F143" s="6"/>
    </row>
    <row r="144" spans="6:6" s="5" customFormat="1" x14ac:dyDescent="0.25">
      <c r="F144" s="6"/>
    </row>
    <row r="145" spans="6:6" s="5" customFormat="1" x14ac:dyDescent="0.25">
      <c r="F145" s="6"/>
    </row>
    <row r="146" spans="6:6" s="5" customFormat="1" x14ac:dyDescent="0.25">
      <c r="F146" s="6"/>
    </row>
    <row r="147" spans="6:6" s="5" customFormat="1" x14ac:dyDescent="0.25">
      <c r="F147" s="6"/>
    </row>
    <row r="148" spans="6:6" s="5" customFormat="1" x14ac:dyDescent="0.25">
      <c r="F148" s="6"/>
    </row>
    <row r="149" spans="6:6" s="5" customFormat="1" x14ac:dyDescent="0.25">
      <c r="F149" s="6"/>
    </row>
    <row r="150" spans="6:6" s="5" customFormat="1" x14ac:dyDescent="0.25">
      <c r="F150" s="6"/>
    </row>
    <row r="151" spans="6:6" s="5" customFormat="1" x14ac:dyDescent="0.25">
      <c r="F151" s="6"/>
    </row>
    <row r="152" spans="6:6" s="5" customFormat="1" x14ac:dyDescent="0.25">
      <c r="F152" s="6"/>
    </row>
    <row r="153" spans="6:6" s="5" customFormat="1" x14ac:dyDescent="0.25">
      <c r="F153" s="6"/>
    </row>
    <row r="154" spans="6:6" s="5" customFormat="1" x14ac:dyDescent="0.25">
      <c r="F154" s="6"/>
    </row>
    <row r="155" spans="6:6" s="5" customFormat="1" x14ac:dyDescent="0.25">
      <c r="F155" s="6"/>
    </row>
    <row r="156" spans="6:6" s="5" customFormat="1" x14ac:dyDescent="0.25">
      <c r="F156" s="6"/>
    </row>
    <row r="157" spans="6:6" s="5" customFormat="1" x14ac:dyDescent="0.25">
      <c r="F157" s="6"/>
    </row>
    <row r="158" spans="6:6" s="5" customFormat="1" x14ac:dyDescent="0.25">
      <c r="F158" s="6"/>
    </row>
    <row r="159" spans="6:6" s="5" customFormat="1" x14ac:dyDescent="0.25">
      <c r="F159" s="6"/>
    </row>
    <row r="160" spans="6:6" s="5" customFormat="1" x14ac:dyDescent="0.25">
      <c r="F160" s="6"/>
    </row>
    <row r="161" spans="6:6" s="5" customFormat="1" x14ac:dyDescent="0.25">
      <c r="F161" s="6"/>
    </row>
    <row r="162" spans="6:6" s="5" customFormat="1" x14ac:dyDescent="0.25">
      <c r="F162" s="6"/>
    </row>
    <row r="163" spans="6:6" s="5" customFormat="1" x14ac:dyDescent="0.25">
      <c r="F163" s="6"/>
    </row>
    <row r="164" spans="6:6" s="5" customFormat="1" x14ac:dyDescent="0.25">
      <c r="F164" s="6"/>
    </row>
    <row r="165" spans="6:6" s="5" customFormat="1" x14ac:dyDescent="0.25">
      <c r="F165" s="6"/>
    </row>
    <row r="166" spans="6:6" s="5" customFormat="1" x14ac:dyDescent="0.25">
      <c r="F166" s="6"/>
    </row>
    <row r="167" spans="6:6" s="5" customFormat="1" x14ac:dyDescent="0.25">
      <c r="F167" s="6"/>
    </row>
    <row r="168" spans="6:6" s="5" customFormat="1" x14ac:dyDescent="0.25">
      <c r="F168" s="6"/>
    </row>
    <row r="169" spans="6:6" s="5" customFormat="1" x14ac:dyDescent="0.25">
      <c r="F169" s="6"/>
    </row>
    <row r="170" spans="6:6" s="5" customFormat="1" x14ac:dyDescent="0.25">
      <c r="F170" s="6"/>
    </row>
    <row r="171" spans="6:6" s="5" customFormat="1" x14ac:dyDescent="0.25">
      <c r="F171" s="6"/>
    </row>
  </sheetData>
  <autoFilter ref="A5:F7"/>
  <pageMargins left="0.7" right="0.7" top="0.75" bottom="0.75" header="0.3" footer="0.3"/>
  <pageSetup paperSize="9" scale="71" fitToHeight="0" orientation="landscape" horizontalDpi="1200" verticalDpi="1200" r:id="rId1"/>
  <rowBreaks count="1" manualBreakCount="1">
    <brk id="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6"/>
  <sheetViews>
    <sheetView topLeftCell="A2" zoomScale="74" zoomScaleNormal="74" workbookViewId="0">
      <selection activeCell="F2" sqref="F2"/>
    </sheetView>
  </sheetViews>
  <sheetFormatPr defaultColWidth="10.7109375" defaultRowHeight="15" x14ac:dyDescent="0.25"/>
  <cols>
    <col min="1" max="1" width="42.28515625" bestFit="1" customWidth="1"/>
    <col min="2" max="2" width="5.28515625" style="15" customWidth="1"/>
    <col min="3" max="3" width="11.140625" style="15" customWidth="1"/>
    <col min="4" max="4" width="6.7109375" style="15" customWidth="1"/>
    <col min="5" max="5" width="25.140625" style="15" customWidth="1"/>
    <col min="6" max="6" width="29.7109375" style="18" customWidth="1"/>
    <col min="7" max="7" width="44.5703125" customWidth="1"/>
  </cols>
  <sheetData>
    <row r="1" spans="1:7" x14ac:dyDescent="0.25">
      <c r="A1" s="9" t="s">
        <v>187</v>
      </c>
      <c r="B1" s="9" t="s">
        <v>199</v>
      </c>
      <c r="C1" s="9" t="s">
        <v>165</v>
      </c>
      <c r="D1" s="19" t="s">
        <v>166</v>
      </c>
      <c r="E1" s="20" t="s">
        <v>213</v>
      </c>
      <c r="F1" s="21" t="s">
        <v>214</v>
      </c>
      <c r="G1" s="10" t="s">
        <v>188</v>
      </c>
    </row>
    <row r="2" spans="1:7" x14ac:dyDescent="0.25">
      <c r="A2" s="34" t="s">
        <v>189</v>
      </c>
      <c r="B2" s="2">
        <v>6</v>
      </c>
      <c r="C2" s="2">
        <v>1</v>
      </c>
      <c r="D2" s="11" t="str">
        <f>"UN"</f>
        <v>UN</v>
      </c>
      <c r="E2" s="12">
        <v>500</v>
      </c>
      <c r="F2" s="13">
        <v>0</v>
      </c>
      <c r="G2" s="14" t="s">
        <v>190</v>
      </c>
    </row>
    <row r="3" spans="1:7" x14ac:dyDescent="0.25">
      <c r="A3" s="34" t="str">
        <f>" CLAV.SENCO PAL-70"</f>
        <v xml:space="preserve"> CLAV.SENCO PAL-70</v>
      </c>
      <c r="B3" s="2">
        <v>6</v>
      </c>
      <c r="C3" s="2">
        <v>1</v>
      </c>
      <c r="D3" s="11" t="str">
        <f>"UN"</f>
        <v>UN</v>
      </c>
      <c r="E3" s="12">
        <v>1120.625</v>
      </c>
      <c r="F3" s="13">
        <v>1120.625</v>
      </c>
      <c r="G3" s="14"/>
    </row>
    <row r="4" spans="1:7" x14ac:dyDescent="0.25">
      <c r="A4" s="34" t="str">
        <f>"3,2X10 BLANCO C/ALOMADA AL/ST REMACHE"</f>
        <v>3,2X10 BLANCO C/ALOMADA AL/ST REMACHE</v>
      </c>
      <c r="B4" s="2">
        <v>6</v>
      </c>
      <c r="C4" s="2">
        <v>64.5</v>
      </c>
      <c r="D4" s="11" t="str">
        <f>"MILL"</f>
        <v>MILL</v>
      </c>
      <c r="E4" s="12">
        <v>1620.6304529083236</v>
      </c>
      <c r="F4" s="13">
        <v>1620.6304529083236</v>
      </c>
      <c r="G4" s="14"/>
    </row>
    <row r="5" spans="1:7" x14ac:dyDescent="0.25">
      <c r="A5" s="34" t="str">
        <f>"4,8X35 C/ALOMADA FLOR AL/ST REMACHE"</f>
        <v>4,8X35 C/ALOMADA FLOR AL/ST REMACHE</v>
      </c>
      <c r="B5" s="2">
        <v>6</v>
      </c>
      <c r="C5" s="2">
        <v>9</v>
      </c>
      <c r="D5" s="11" t="str">
        <f>"MILL"</f>
        <v>MILL</v>
      </c>
      <c r="E5" s="12">
        <v>764.07182450628363</v>
      </c>
      <c r="F5" s="13">
        <v>764.07182450628363</v>
      </c>
      <c r="G5" s="14"/>
    </row>
    <row r="6" spans="1:7" x14ac:dyDescent="0.25">
      <c r="A6" s="34" t="str">
        <f>"AC50040 UÑA SUPERIOR SGN50"</f>
        <v>AC50040 UÑA SUPERIOR SGN50</v>
      </c>
      <c r="B6" s="2">
        <v>6</v>
      </c>
      <c r="C6" s="2">
        <v>1</v>
      </c>
      <c r="D6" s="11" t="str">
        <f>"UN"</f>
        <v>UN</v>
      </c>
      <c r="E6" s="12">
        <v>234.95999999999998</v>
      </c>
      <c r="F6" s="13">
        <v>234.95999999999998</v>
      </c>
      <c r="G6" s="14"/>
    </row>
    <row r="7" spans="1:7" x14ac:dyDescent="0.25">
      <c r="A7" s="34" t="str">
        <f>"ARANDELA DIN 125 - M8"</f>
        <v>ARANDELA DIN 125 - M8</v>
      </c>
      <c r="B7" s="2">
        <v>6</v>
      </c>
      <c r="C7" s="2">
        <v>27.8</v>
      </c>
      <c r="D7" s="11" t="str">
        <f>"MILL"</f>
        <v>MILL</v>
      </c>
      <c r="E7" s="12">
        <v>702.32809871003951</v>
      </c>
      <c r="F7" s="13">
        <v>702.32809871003951</v>
      </c>
      <c r="G7" s="14"/>
    </row>
    <row r="8" spans="1:7" x14ac:dyDescent="0.25">
      <c r="A8" s="34" t="str">
        <f>"ATORN. SIMES N-4760 - 1/4"</f>
        <v>ATORN. SIMES N-4760 - 1/4</v>
      </c>
      <c r="B8" s="2">
        <v>6</v>
      </c>
      <c r="C8" s="2">
        <v>2</v>
      </c>
      <c r="D8" s="11" t="str">
        <f t="shared" ref="D8:D16" si="0">"UN"</f>
        <v>UN</v>
      </c>
      <c r="E8" s="12">
        <v>483.49904626157496</v>
      </c>
      <c r="F8" s="13">
        <v>483.49904626157496</v>
      </c>
      <c r="G8" s="14"/>
    </row>
    <row r="9" spans="1:7" x14ac:dyDescent="0.25">
      <c r="A9" s="34" t="str">
        <f>"ATORN. SIMES N-4761 -3/8"</f>
        <v>ATORN. SIMES N-4761 -3/8</v>
      </c>
      <c r="B9" s="2">
        <v>6</v>
      </c>
      <c r="C9" s="2">
        <v>4</v>
      </c>
      <c r="D9" s="11" t="str">
        <f t="shared" si="0"/>
        <v>UN</v>
      </c>
      <c r="E9" s="12">
        <v>1795.5163716814159</v>
      </c>
      <c r="F9" s="13">
        <v>1795.5163716814159</v>
      </c>
      <c r="G9" s="14"/>
    </row>
    <row r="10" spans="1:7" x14ac:dyDescent="0.25">
      <c r="A10" s="34" t="str">
        <f>"BATERIA LAMPARA 48 LEDS PIEZA Nº.6"</f>
        <v>BATERIA LAMPARA 48 LEDS PIEZA Nº.6</v>
      </c>
      <c r="B10" s="2">
        <v>6</v>
      </c>
      <c r="C10" s="2">
        <v>9</v>
      </c>
      <c r="D10" s="11" t="str">
        <f t="shared" si="0"/>
        <v>UN</v>
      </c>
      <c r="E10" s="12">
        <v>261.23625000000004</v>
      </c>
      <c r="F10" s="13">
        <v>261.23625000000004</v>
      </c>
      <c r="G10" s="14"/>
    </row>
    <row r="11" spans="1:7" x14ac:dyDescent="0.25">
      <c r="A11" s="34" t="str">
        <f>"BAUL MOVIBLE 4 CAJONES"</f>
        <v>BAUL MOVIBLE 4 CAJONES</v>
      </c>
      <c r="B11" s="2">
        <v>6</v>
      </c>
      <c r="C11" s="2">
        <v>8</v>
      </c>
      <c r="D11" s="11" t="str">
        <f t="shared" si="0"/>
        <v>UN</v>
      </c>
      <c r="E11" s="12">
        <v>4884.1100000000006</v>
      </c>
      <c r="F11" s="13">
        <v>4884.1100000000006</v>
      </c>
      <c r="G11" s="14"/>
    </row>
    <row r="12" spans="1:7" x14ac:dyDescent="0.25">
      <c r="A12" s="34" t="str">
        <f>"BLISTER BRAD SALKI Nº 8/20 mm. HFDEXT"</f>
        <v>BLISTER BRAD SALKI Nº 8/20 mm. HFDEXT</v>
      </c>
      <c r="B12" s="2">
        <v>6</v>
      </c>
      <c r="C12" s="2">
        <v>91</v>
      </c>
      <c r="D12" s="11" t="str">
        <f t="shared" si="0"/>
        <v>UN</v>
      </c>
      <c r="E12" s="12">
        <v>538.03750000000014</v>
      </c>
      <c r="F12" s="13">
        <v>538.03750000000014</v>
      </c>
      <c r="G12" s="14"/>
    </row>
    <row r="13" spans="1:7" x14ac:dyDescent="0.25">
      <c r="A13" s="34" t="str">
        <f>"BLISTER G. COAXIAL SALKI Nº 88/12 mm. HF"</f>
        <v>BLISTER G. COAXIAL SALKI Nº 88/12 mm. HF</v>
      </c>
      <c r="B13" s="2">
        <v>6</v>
      </c>
      <c r="C13" s="2">
        <v>586</v>
      </c>
      <c r="D13" s="11" t="str">
        <f t="shared" si="0"/>
        <v>UN</v>
      </c>
      <c r="E13" s="12">
        <v>3464.7249999999995</v>
      </c>
      <c r="F13" s="13">
        <v>3464.7249999999995</v>
      </c>
      <c r="G13" s="14"/>
    </row>
    <row r="14" spans="1:7" x14ac:dyDescent="0.25">
      <c r="A14" s="34" t="str">
        <f>"BLISTER GRAPA SALKI Nº 50F/14 mm. HFDEXT"</f>
        <v>BLISTER GRAPA SALKI Nº 50F/14 mm. HFDEXT</v>
      </c>
      <c r="B14" s="2">
        <v>6</v>
      </c>
      <c r="C14" s="2">
        <v>47</v>
      </c>
      <c r="D14" s="11" t="str">
        <f t="shared" si="0"/>
        <v>UN</v>
      </c>
      <c r="E14" s="12">
        <v>326.35624999999999</v>
      </c>
      <c r="F14" s="13">
        <v>326.35624999999999</v>
      </c>
      <c r="G14" s="14"/>
    </row>
    <row r="15" spans="1:7" x14ac:dyDescent="0.25">
      <c r="A15" s="34" t="str">
        <f>"BLISTER GRAPA TELEF. SALKI Nº 77/9 mm."</f>
        <v>BLISTER GRAPA TELEF. SALKI Nº 77/9 mm.</v>
      </c>
      <c r="B15" s="2">
        <v>6</v>
      </c>
      <c r="C15" s="2">
        <v>255</v>
      </c>
      <c r="D15" s="11" t="str">
        <f t="shared" si="0"/>
        <v>UN</v>
      </c>
      <c r="E15" s="12">
        <v>1455.0937500000002</v>
      </c>
      <c r="F15" s="13">
        <v>1455.0937500000002</v>
      </c>
      <c r="G15" s="14"/>
    </row>
    <row r="16" spans="1:7" x14ac:dyDescent="0.25">
      <c r="A16" s="34" t="str">
        <f>"BOQUILLA PULVERIZADOR Nº11"</f>
        <v>BOQUILLA PULVERIZADOR Nº11</v>
      </c>
      <c r="B16" s="2">
        <v>6</v>
      </c>
      <c r="C16" s="2">
        <v>28</v>
      </c>
      <c r="D16" s="11" t="str">
        <f t="shared" si="0"/>
        <v>UN</v>
      </c>
      <c r="E16" s="12">
        <v>334.95000000000005</v>
      </c>
      <c r="F16" s="13">
        <v>334.95000000000005</v>
      </c>
      <c r="G16" s="14"/>
    </row>
    <row r="17" spans="1:7" x14ac:dyDescent="0.25">
      <c r="A17" s="34" t="str">
        <f>"BRAD 1,53 - 38"</f>
        <v>BRAD 1,53 - 38</v>
      </c>
      <c r="B17" s="2">
        <v>6</v>
      </c>
      <c r="C17" s="2">
        <v>1152</v>
      </c>
      <c r="D17" s="11" t="str">
        <f>"MILL"</f>
        <v>MILL</v>
      </c>
      <c r="E17" s="12">
        <v>6858.7199999999984</v>
      </c>
      <c r="F17" s="13">
        <v>6858.7199999999984</v>
      </c>
      <c r="G17" s="14"/>
    </row>
    <row r="18" spans="1:7" x14ac:dyDescent="0.25">
      <c r="A18" s="34" t="str">
        <f>"BRAD 1,83 - 25 NEGRO"</f>
        <v>BRAD 1,83 - 25 NEGRO</v>
      </c>
      <c r="B18" s="2">
        <v>6</v>
      </c>
      <c r="C18" s="2">
        <v>30</v>
      </c>
      <c r="D18" s="11" t="str">
        <f>"MILL"</f>
        <v>MILL</v>
      </c>
      <c r="E18" s="12">
        <v>243.375</v>
      </c>
      <c r="F18" s="13">
        <v>243.375</v>
      </c>
      <c r="G18" s="14"/>
    </row>
    <row r="19" spans="1:7" x14ac:dyDescent="0.25">
      <c r="A19" s="34" t="str">
        <f>"BRAD 1,83 - 35 NEGRO"</f>
        <v>BRAD 1,83 - 35 NEGRO</v>
      </c>
      <c r="B19" s="2">
        <v>6</v>
      </c>
      <c r="C19" s="2">
        <v>60</v>
      </c>
      <c r="D19" s="11" t="str">
        <f>"MILL"</f>
        <v>MILL</v>
      </c>
      <c r="E19" s="12">
        <v>566.77499999999998</v>
      </c>
      <c r="F19" s="13">
        <v>566.77499999999998</v>
      </c>
      <c r="G19" s="14"/>
    </row>
    <row r="20" spans="1:7" x14ac:dyDescent="0.25">
      <c r="A20" s="34" t="str">
        <f>"BRAD AX - 30"</f>
        <v>BRAD AX - 30</v>
      </c>
      <c r="B20" s="2">
        <v>6</v>
      </c>
      <c r="C20" s="2">
        <v>3540</v>
      </c>
      <c r="D20" s="11" t="str">
        <f>"MILL"</f>
        <v>MILL</v>
      </c>
      <c r="E20" s="12">
        <v>6279.0750000000016</v>
      </c>
      <c r="F20" s="13">
        <v>6279.0750000000016</v>
      </c>
      <c r="G20" s="14"/>
    </row>
    <row r="21" spans="1:7" x14ac:dyDescent="0.25">
      <c r="A21" s="34" t="str">
        <f>"BRAD LSII-35 STANDARD"</f>
        <v>BRAD LSII-35 STANDARD</v>
      </c>
      <c r="B21" s="2">
        <v>6</v>
      </c>
      <c r="C21" s="2">
        <v>1315</v>
      </c>
      <c r="D21" s="11" t="str">
        <f>"MILL"</f>
        <v>MILL</v>
      </c>
      <c r="E21" s="12">
        <v>4574.5562499999996</v>
      </c>
      <c r="F21" s="13">
        <v>4574.5562499999996</v>
      </c>
      <c r="G21" s="14"/>
    </row>
    <row r="22" spans="1:7" x14ac:dyDescent="0.25">
      <c r="A22" s="34" t="str">
        <f>"CARCASA INF. LAMPARA 48 LEDS PIEZA Nº.11"</f>
        <v>CARCASA INF. LAMPARA 48 LEDS PIEZA Nº.11</v>
      </c>
      <c r="B22" s="2">
        <v>6</v>
      </c>
      <c r="C22" s="2">
        <v>20</v>
      </c>
      <c r="D22" s="11" t="str">
        <f t="shared" ref="D22:D32" si="1">"UN"</f>
        <v>UN</v>
      </c>
      <c r="E22" s="12">
        <v>42.075000000000003</v>
      </c>
      <c r="F22" s="13">
        <v>0</v>
      </c>
      <c r="G22" s="14" t="s">
        <v>191</v>
      </c>
    </row>
    <row r="23" spans="1:7" x14ac:dyDescent="0.25">
      <c r="A23" s="34" t="str">
        <f>"CARCASA LAMPARA 48 LEDS PIEZA Nº.1"</f>
        <v>CARCASA LAMPARA 48 LEDS PIEZA Nº.1</v>
      </c>
      <c r="B23" s="2">
        <v>6</v>
      </c>
      <c r="C23" s="2">
        <v>20</v>
      </c>
      <c r="D23" s="11" t="str">
        <f t="shared" si="1"/>
        <v>UN</v>
      </c>
      <c r="E23" s="12">
        <v>101.75</v>
      </c>
      <c r="F23" s="13">
        <v>0</v>
      </c>
      <c r="G23" s="14" t="s">
        <v>191</v>
      </c>
    </row>
    <row r="24" spans="1:7" x14ac:dyDescent="0.25">
      <c r="A24" s="34" t="str">
        <f>"CARCASA TRAS. LAMPARA 48 LEDS PIEZA Nº.7"</f>
        <v>CARCASA TRAS. LAMPARA 48 LEDS PIEZA Nº.7</v>
      </c>
      <c r="B24" s="2">
        <v>6</v>
      </c>
      <c r="C24" s="2">
        <v>20</v>
      </c>
      <c r="D24" s="11" t="str">
        <f t="shared" si="1"/>
        <v>UN</v>
      </c>
      <c r="E24" s="12">
        <v>62.975000000000009</v>
      </c>
      <c r="F24" s="13">
        <v>0</v>
      </c>
      <c r="G24" s="14" t="s">
        <v>191</v>
      </c>
    </row>
    <row r="25" spans="1:7" x14ac:dyDescent="0.25">
      <c r="A25" s="34" t="str">
        <f>"CINTA ROJA - 200 micras"</f>
        <v>CINTA ROJA - 200 micras</v>
      </c>
      <c r="B25" s="2">
        <v>6</v>
      </c>
      <c r="C25" s="2">
        <v>252</v>
      </c>
      <c r="D25" s="11" t="str">
        <f t="shared" si="1"/>
        <v>UN</v>
      </c>
      <c r="E25" s="12">
        <v>184.59557522123893</v>
      </c>
      <c r="F25" s="13">
        <v>184.59557522123893</v>
      </c>
      <c r="G25" s="14"/>
    </row>
    <row r="26" spans="1:7" x14ac:dyDescent="0.25">
      <c r="A26" s="34" t="str">
        <f>"CLAV. BRAD 1,53 GENERICA"</f>
        <v>CLAV. BRAD 1,53 GENERICA</v>
      </c>
      <c r="B26" s="2">
        <v>6</v>
      </c>
      <c r="C26" s="2">
        <v>5</v>
      </c>
      <c r="D26" s="11" t="str">
        <f t="shared" si="1"/>
        <v>UN</v>
      </c>
      <c r="E26" s="12">
        <v>872.79761904761926</v>
      </c>
      <c r="F26" s="13">
        <v>872.79761904761926</v>
      </c>
      <c r="G26" s="14"/>
    </row>
    <row r="27" spans="1:7" x14ac:dyDescent="0.25">
      <c r="A27" s="34" t="str">
        <f>"CLAV. BRAD ACERO GENERICA"</f>
        <v>CLAV. BRAD ACERO GENERICA</v>
      </c>
      <c r="B27" s="2">
        <v>6</v>
      </c>
      <c r="C27" s="2">
        <v>2</v>
      </c>
      <c r="D27" s="11" t="str">
        <f t="shared" si="1"/>
        <v>UN</v>
      </c>
      <c r="E27" s="12">
        <v>268.18051628878175</v>
      </c>
      <c r="F27" s="13">
        <v>268.18051628878175</v>
      </c>
      <c r="G27" s="14"/>
    </row>
    <row r="28" spans="1:7" x14ac:dyDescent="0.25">
      <c r="A28" s="34" t="str">
        <f>"CLAV. BRAD AX GENERICA"</f>
        <v>CLAV. BRAD AX GENERICA</v>
      </c>
      <c r="B28" s="2">
        <v>6</v>
      </c>
      <c r="C28" s="2">
        <v>3</v>
      </c>
      <c r="D28" s="11" t="str">
        <f t="shared" si="1"/>
        <v>UN</v>
      </c>
      <c r="E28" s="12">
        <v>310.2992376111817</v>
      </c>
      <c r="F28" s="13">
        <v>310.2992376111817</v>
      </c>
      <c r="G28" s="14"/>
    </row>
    <row r="29" spans="1:7" x14ac:dyDescent="0.25">
      <c r="A29" s="34" t="str">
        <f>"CLAV. COIL 1,6 GENERICO"</f>
        <v>CLAV. COIL 1,6 GENERICO</v>
      </c>
      <c r="B29" s="2">
        <v>6</v>
      </c>
      <c r="C29" s="2">
        <v>1</v>
      </c>
      <c r="D29" s="11" t="str">
        <f t="shared" si="1"/>
        <v>UN</v>
      </c>
      <c r="E29" s="12">
        <v>423.07692307692321</v>
      </c>
      <c r="F29" s="13">
        <v>423.07692307692321</v>
      </c>
      <c r="G29" s="14"/>
    </row>
    <row r="30" spans="1:7" x14ac:dyDescent="0.25">
      <c r="A30" s="34" t="str">
        <f>"CLAV. MINI BRAD 0,8 GENERICA"</f>
        <v>CLAV. MINI BRAD 0,8 GENERICA</v>
      </c>
      <c r="B30" s="2">
        <v>6</v>
      </c>
      <c r="C30" s="2">
        <v>3</v>
      </c>
      <c r="D30" s="11" t="str">
        <f t="shared" si="1"/>
        <v>UN</v>
      </c>
      <c r="E30" s="12">
        <v>235.45353982300887</v>
      </c>
      <c r="F30" s="13">
        <v>235.45353982300887</v>
      </c>
      <c r="G30" s="14"/>
    </row>
    <row r="31" spans="1:7" x14ac:dyDescent="0.25">
      <c r="A31" s="34" t="str">
        <f>"CLAV.FINISH PRO 35 DA"</f>
        <v>CLAV.FINISH PRO 35 DA</v>
      </c>
      <c r="B31" s="2">
        <v>6</v>
      </c>
      <c r="C31" s="2">
        <v>1</v>
      </c>
      <c r="D31" s="11" t="str">
        <f t="shared" si="1"/>
        <v>UN</v>
      </c>
      <c r="E31" s="12">
        <v>451.93500000000006</v>
      </c>
      <c r="F31" s="13">
        <v>451.93500000000006</v>
      </c>
      <c r="G31" s="14"/>
    </row>
    <row r="32" spans="1:7" x14ac:dyDescent="0.25">
      <c r="A32" s="34" t="s">
        <v>192</v>
      </c>
      <c r="B32" s="2">
        <v>6</v>
      </c>
      <c r="C32" s="2">
        <v>18</v>
      </c>
      <c r="D32" s="11" t="str">
        <f t="shared" si="1"/>
        <v>UN</v>
      </c>
      <c r="E32" s="12">
        <v>0</v>
      </c>
      <c r="F32" s="13">
        <v>9165.9239999999991</v>
      </c>
      <c r="G32" s="14"/>
    </row>
    <row r="33" spans="1:7" x14ac:dyDescent="0.25">
      <c r="A33" s="34" t="str">
        <f>"CLAVO COIL 2.5 x 70 TORSADE"</f>
        <v>CLAVO COIL 2.5 x 70 TORSADE</v>
      </c>
      <c r="B33" s="2">
        <v>6</v>
      </c>
      <c r="C33" s="2">
        <v>223.2</v>
      </c>
      <c r="D33" s="11" t="str">
        <f t="shared" ref="D33:D38" si="2">"MILL"</f>
        <v>MILL</v>
      </c>
      <c r="E33" s="12">
        <v>2654.6850000000009</v>
      </c>
      <c r="F33" s="13">
        <v>2654.6850000000009</v>
      </c>
      <c r="G33" s="14"/>
    </row>
    <row r="34" spans="1:7" x14ac:dyDescent="0.25">
      <c r="A34" s="34" t="str">
        <f>"CLAVO DA-23/57 EPB SENC."</f>
        <v>CLAVO DA-23/57 EPB SENC.</v>
      </c>
      <c r="B34" s="2">
        <v>6</v>
      </c>
      <c r="C34" s="2">
        <v>1000</v>
      </c>
      <c r="D34" s="11" t="str">
        <f t="shared" si="2"/>
        <v>MILL</v>
      </c>
      <c r="E34" s="12">
        <v>33632.5</v>
      </c>
      <c r="F34" s="13">
        <v>33632.5</v>
      </c>
      <c r="G34" s="14"/>
    </row>
    <row r="35" spans="1:7" x14ac:dyDescent="0.25">
      <c r="A35" s="34" t="str">
        <f>"CLAVO EC-51/50 APA"</f>
        <v>CLAVO EC-51/50 APA</v>
      </c>
      <c r="B35" s="2">
        <v>6</v>
      </c>
      <c r="C35" s="2">
        <v>9</v>
      </c>
      <c r="D35" s="11" t="str">
        <f t="shared" si="2"/>
        <v>MILL</v>
      </c>
      <c r="E35" s="12">
        <v>181.78875000000005</v>
      </c>
      <c r="F35" s="13">
        <v>181.78875000000005</v>
      </c>
      <c r="G35" s="14"/>
    </row>
    <row r="36" spans="1:7" x14ac:dyDescent="0.25">
      <c r="A36" s="34" t="str">
        <f>"CLAVO HC-57/75 APA"</f>
        <v>CLAVO HC-57/75 APA</v>
      </c>
      <c r="B36" s="2">
        <v>6</v>
      </c>
      <c r="C36" s="2">
        <v>165</v>
      </c>
      <c r="D36" s="11" t="str">
        <f t="shared" si="2"/>
        <v>MILL</v>
      </c>
      <c r="E36" s="12">
        <v>6744.9937500000005</v>
      </c>
      <c r="F36" s="13">
        <v>6744.9937500000005</v>
      </c>
      <c r="G36" s="14"/>
    </row>
    <row r="37" spans="1:7" x14ac:dyDescent="0.25">
      <c r="A37" s="34" t="str">
        <f>"CLAVO HC-58/80 APA"</f>
        <v>CLAVO HC-58/80 APA</v>
      </c>
      <c r="B37" s="2">
        <v>6</v>
      </c>
      <c r="C37" s="2">
        <v>165</v>
      </c>
      <c r="D37" s="11" t="str">
        <f t="shared" si="2"/>
        <v>MILL</v>
      </c>
      <c r="E37" s="12">
        <v>7604.8499999999995</v>
      </c>
      <c r="F37" s="13">
        <v>7604.8499999999995</v>
      </c>
      <c r="G37" s="14"/>
    </row>
    <row r="38" spans="1:7" x14ac:dyDescent="0.25">
      <c r="A38" s="34" t="str">
        <f>"CLAVO HF-58/80 APA"</f>
        <v>CLAVO HF-58/80 APA</v>
      </c>
      <c r="B38" s="2">
        <v>6</v>
      </c>
      <c r="C38" s="2">
        <v>639</v>
      </c>
      <c r="D38" s="11" t="str">
        <f t="shared" si="2"/>
        <v>MILL</v>
      </c>
      <c r="E38" s="12">
        <v>18802.574999999997</v>
      </c>
      <c r="F38" s="13">
        <v>18802.574999999997</v>
      </c>
      <c r="G38" s="14"/>
    </row>
    <row r="39" spans="1:7" x14ac:dyDescent="0.25">
      <c r="A39" s="34" t="str">
        <f>"CLAVO SUELTO 2,1X27 A caja"</f>
        <v>CLAVO SUELTO 2,1X27 A caja</v>
      </c>
      <c r="B39" s="2">
        <v>6</v>
      </c>
      <c r="C39" s="2">
        <v>81</v>
      </c>
      <c r="D39" s="11" t="str">
        <f t="shared" ref="D39:D46" si="3">"KG"</f>
        <v>KG</v>
      </c>
      <c r="E39" s="12">
        <v>711.96387096774197</v>
      </c>
      <c r="F39" s="13">
        <v>711.96387096774197</v>
      </c>
      <c r="G39" s="14"/>
    </row>
    <row r="40" spans="1:7" x14ac:dyDescent="0.25">
      <c r="A40" s="34" t="str">
        <f>"CLAVO SUELTO 2,5X30 P.D. LISO caja"</f>
        <v>CLAVO SUELTO 2,5X30 P.D. LISO caja</v>
      </c>
      <c r="B40" s="2">
        <v>6</v>
      </c>
      <c r="C40" s="2">
        <v>1875</v>
      </c>
      <c r="D40" s="11" t="str">
        <f t="shared" si="3"/>
        <v>KG</v>
      </c>
      <c r="E40" s="12">
        <v>6754.6875000000009</v>
      </c>
      <c r="F40" s="13">
        <v>6754.6875000000009</v>
      </c>
      <c r="G40" s="14"/>
    </row>
    <row r="41" spans="1:7" x14ac:dyDescent="0.25">
      <c r="A41" s="34" t="str">
        <f>"CLAVO SUELTO 2,5X40 H caja"</f>
        <v>CLAVO SUELTO 2,5X40 H caja</v>
      </c>
      <c r="B41" s="2">
        <v>6</v>
      </c>
      <c r="C41" s="2">
        <v>1000</v>
      </c>
      <c r="D41" s="11" t="str">
        <f t="shared" si="3"/>
        <v>KG</v>
      </c>
      <c r="E41" s="12">
        <v>3180.3200000000006</v>
      </c>
      <c r="F41" s="13">
        <v>3180.3200000000006</v>
      </c>
      <c r="G41" s="14"/>
    </row>
    <row r="42" spans="1:7" x14ac:dyDescent="0.25">
      <c r="A42" s="34" t="str">
        <f>"CLAVO SUELTO 2,5X55 H caja"</f>
        <v>CLAVO SUELTO 2,5X55 H caja</v>
      </c>
      <c r="B42" s="2">
        <v>6</v>
      </c>
      <c r="C42" s="2">
        <v>3175</v>
      </c>
      <c r="D42" s="11" t="str">
        <f t="shared" si="3"/>
        <v>KG</v>
      </c>
      <c r="E42" s="12">
        <v>11437.9375</v>
      </c>
      <c r="F42" s="13">
        <v>11437.9375</v>
      </c>
      <c r="G42" s="14"/>
    </row>
    <row r="43" spans="1:7" x14ac:dyDescent="0.25">
      <c r="A43" s="34" t="str">
        <f>"CLAVO SUELTO 2,5X65 H caja"</f>
        <v>CLAVO SUELTO 2,5X65 H caja</v>
      </c>
      <c r="B43" s="2">
        <v>6</v>
      </c>
      <c r="C43" s="2">
        <v>4940</v>
      </c>
      <c r="D43" s="11" t="str">
        <f t="shared" si="3"/>
        <v>KG</v>
      </c>
      <c r="E43" s="12">
        <v>17796.350000000002</v>
      </c>
      <c r="F43" s="13">
        <v>17796.350000000002</v>
      </c>
      <c r="G43" s="14"/>
    </row>
    <row r="44" spans="1:7" x14ac:dyDescent="0.25">
      <c r="A44" s="34" t="str">
        <f>"CLAVO SUELTO 2,8X40 A caja"</f>
        <v>CLAVO SUELTO 2,8X40 A caja</v>
      </c>
      <c r="B44" s="2">
        <v>6</v>
      </c>
      <c r="C44" s="2">
        <v>1000</v>
      </c>
      <c r="D44" s="11" t="str">
        <f t="shared" si="3"/>
        <v>KG</v>
      </c>
      <c r="E44" s="12">
        <v>3567.7423814566419</v>
      </c>
      <c r="F44" s="13">
        <v>3567.7423814566419</v>
      </c>
      <c r="G44" s="14"/>
    </row>
    <row r="45" spans="1:7" x14ac:dyDescent="0.25">
      <c r="A45" s="34" t="str">
        <f>"CLAVO SUELTO 2,8X50 H caja"</f>
        <v>CLAVO SUELTO 2,8X50 H caja</v>
      </c>
      <c r="B45" s="2">
        <v>6</v>
      </c>
      <c r="C45" s="2">
        <v>1850</v>
      </c>
      <c r="D45" s="11" t="str">
        <f t="shared" si="3"/>
        <v>KG</v>
      </c>
      <c r="E45" s="12">
        <v>6664.6250000000009</v>
      </c>
      <c r="F45" s="13">
        <v>6664.6250000000009</v>
      </c>
      <c r="G45" s="14"/>
    </row>
    <row r="46" spans="1:7" x14ac:dyDescent="0.25">
      <c r="A46" s="34" t="str">
        <f>"CLAVO SUELTO 3,1 X 75 ANILLADO CAJA"</f>
        <v>CLAVO SUELTO 3,1 X 75 ANILLADO CAJA</v>
      </c>
      <c r="B46" s="2">
        <v>6</v>
      </c>
      <c r="C46" s="2">
        <v>1920</v>
      </c>
      <c r="D46" s="11" t="str">
        <f t="shared" si="3"/>
        <v>KG</v>
      </c>
      <c r="E46" s="12">
        <v>6688.8092903225806</v>
      </c>
      <c r="F46" s="13">
        <v>6688.8092903225806</v>
      </c>
      <c r="G46" s="14"/>
    </row>
    <row r="47" spans="1:7" x14ac:dyDescent="0.25">
      <c r="A47" s="34" t="str">
        <f>"CLAVO T-25 STANDAR"</f>
        <v>CLAVO T-25 STANDAR</v>
      </c>
      <c r="B47" s="2">
        <v>6</v>
      </c>
      <c r="C47" s="2">
        <v>200</v>
      </c>
      <c r="D47" s="11" t="str">
        <f t="shared" ref="D47:D66" si="4">"MILL"</f>
        <v>MILL</v>
      </c>
      <c r="E47" s="12">
        <v>2321.0000000000005</v>
      </c>
      <c r="F47" s="13">
        <v>2321.0000000000005</v>
      </c>
      <c r="G47" s="14"/>
    </row>
    <row r="48" spans="1:7" x14ac:dyDescent="0.25">
      <c r="A48" s="34" t="str">
        <f>"COIL  2,2 X 60 L SENC"</f>
        <v>COIL  2,2 X 60 L SENC</v>
      </c>
      <c r="B48" s="2">
        <v>6</v>
      </c>
      <c r="C48" s="2">
        <v>18</v>
      </c>
      <c r="D48" s="11" t="str">
        <f t="shared" si="4"/>
        <v>MILL</v>
      </c>
      <c r="E48" s="12">
        <v>158.64750000000001</v>
      </c>
      <c r="F48" s="13">
        <v>158.64750000000001</v>
      </c>
      <c r="G48" s="14"/>
    </row>
    <row r="49" spans="1:7" x14ac:dyDescent="0.25">
      <c r="A49" s="34" t="str">
        <f>"COIL  2,2 X 60 P.D. L SENC"</f>
        <v>COIL  2,2 X 60 P.D. L SENC</v>
      </c>
      <c r="B49" s="2">
        <v>6</v>
      </c>
      <c r="C49" s="2">
        <v>1962</v>
      </c>
      <c r="D49" s="11" t="str">
        <f t="shared" si="4"/>
        <v>MILL</v>
      </c>
      <c r="E49" s="12">
        <v>22229.460000000006</v>
      </c>
      <c r="F49" s="13">
        <v>22229.460000000006</v>
      </c>
      <c r="G49" s="14"/>
    </row>
    <row r="50" spans="1:7" x14ac:dyDescent="0.25">
      <c r="A50" s="34" t="str">
        <f>"COIL  2,2 X 65 L SENC"</f>
        <v>COIL  2,2 X 65 L SENC</v>
      </c>
      <c r="B50" s="2">
        <v>6</v>
      </c>
      <c r="C50" s="2">
        <v>1462.8</v>
      </c>
      <c r="D50" s="11" t="str">
        <f t="shared" si="4"/>
        <v>MILL</v>
      </c>
      <c r="E50" s="12">
        <v>10700.382000000001</v>
      </c>
      <c r="F50" s="13">
        <v>10700.382000000001</v>
      </c>
      <c r="G50" s="14"/>
    </row>
    <row r="51" spans="1:7" x14ac:dyDescent="0.25">
      <c r="A51" s="34" t="str">
        <f>"COIL  2,2X40 A B-1200 SENC"</f>
        <v>COIL  2,2X40 A B-1200 SENC</v>
      </c>
      <c r="B51" s="2">
        <v>6</v>
      </c>
      <c r="C51" s="2">
        <v>417.6</v>
      </c>
      <c r="D51" s="11" t="str">
        <f t="shared" si="4"/>
        <v>MILL</v>
      </c>
      <c r="E51" s="12">
        <v>2038.41</v>
      </c>
      <c r="F51" s="13">
        <v>2038.41</v>
      </c>
      <c r="G51" s="14"/>
    </row>
    <row r="52" spans="1:7" x14ac:dyDescent="0.25">
      <c r="A52" s="34" t="str">
        <f>"COIL  2,2X40 H B-1200 SENC"</f>
        <v>COIL  2,2X40 H B-1200 SENC</v>
      </c>
      <c r="B52" s="2">
        <v>6</v>
      </c>
      <c r="C52" s="2">
        <v>698</v>
      </c>
      <c r="D52" s="11" t="str">
        <f t="shared" si="4"/>
        <v>MILL</v>
      </c>
      <c r="E52" s="12">
        <v>5019.4925000000012</v>
      </c>
      <c r="F52" s="13">
        <v>5019.4925000000012</v>
      </c>
      <c r="G52" s="14"/>
    </row>
    <row r="53" spans="1:7" x14ac:dyDescent="0.25">
      <c r="A53" s="34" t="str">
        <f>"COIL  2,2X50 L SENC"</f>
        <v>COIL  2,2X50 L SENC</v>
      </c>
      <c r="B53" s="2">
        <v>6</v>
      </c>
      <c r="C53" s="2">
        <v>54</v>
      </c>
      <c r="D53" s="11" t="str">
        <f t="shared" si="4"/>
        <v>MILL</v>
      </c>
      <c r="E53" s="12">
        <v>348.97500000000002</v>
      </c>
      <c r="F53" s="13">
        <v>348.97500000000002</v>
      </c>
      <c r="G53" s="14"/>
    </row>
    <row r="54" spans="1:7" x14ac:dyDescent="0.25">
      <c r="A54" s="34" t="str">
        <f>"COIL  2,2X55 A B-1200 SENC"</f>
        <v>COIL  2,2X55 A B-1200 SENC</v>
      </c>
      <c r="B54" s="2">
        <v>6</v>
      </c>
      <c r="C54" s="2">
        <v>948</v>
      </c>
      <c r="D54" s="11" t="str">
        <f t="shared" si="4"/>
        <v>MILL</v>
      </c>
      <c r="E54" s="12">
        <v>7051.9350000000004</v>
      </c>
      <c r="F54" s="13">
        <v>7051.9350000000004</v>
      </c>
      <c r="G54" s="14"/>
    </row>
    <row r="55" spans="1:7" x14ac:dyDescent="0.25">
      <c r="A55" s="34" t="str">
        <f>"COIL  2,5X60 H SENC B-1500 SENC"</f>
        <v>COIL  2,5X60 H SENC B-1500 SENC</v>
      </c>
      <c r="B55" s="2">
        <v>6</v>
      </c>
      <c r="C55" s="2">
        <v>81</v>
      </c>
      <c r="D55" s="11" t="str">
        <f t="shared" si="4"/>
        <v>MILL</v>
      </c>
      <c r="E55" s="12">
        <v>1024.6500000000001</v>
      </c>
      <c r="F55" s="13">
        <v>1024.6500000000001</v>
      </c>
      <c r="G55" s="14"/>
    </row>
    <row r="56" spans="1:7" x14ac:dyDescent="0.25">
      <c r="A56" s="34" t="str">
        <f>"COIL 2,0X25 A B-1200 SENC"</f>
        <v>COIL 2,0X25 A B-1200 SENC</v>
      </c>
      <c r="B56" s="2">
        <v>6</v>
      </c>
      <c r="C56" s="2">
        <v>2342.4</v>
      </c>
      <c r="D56" s="11" t="str">
        <f t="shared" si="4"/>
        <v>MILL</v>
      </c>
      <c r="E56" s="12">
        <v>9275.9040000000005</v>
      </c>
      <c r="F56" s="13">
        <v>9275.9040000000005</v>
      </c>
      <c r="G56" s="14"/>
    </row>
    <row r="57" spans="1:7" x14ac:dyDescent="0.25">
      <c r="A57" s="34" t="str">
        <f>"COIL 2,0X38 A B-1200 SENC"</f>
        <v>COIL 2,0X38 A B-1200 SENC</v>
      </c>
      <c r="B57" s="2">
        <v>6</v>
      </c>
      <c r="C57" s="2">
        <v>2194.4</v>
      </c>
      <c r="D57" s="11" t="str">
        <f t="shared" si="4"/>
        <v>MILL</v>
      </c>
      <c r="E57" s="12">
        <v>8840.6890000000003</v>
      </c>
      <c r="F57" s="13">
        <v>8840.6890000000003</v>
      </c>
      <c r="G57" s="14"/>
    </row>
    <row r="58" spans="1:7" x14ac:dyDescent="0.25">
      <c r="A58" s="34" t="str">
        <f>"COIL 2,0X45 L B-1200 SENC"</f>
        <v>COIL 2,0X45 L B-1200 SENC</v>
      </c>
      <c r="B58" s="2">
        <v>6</v>
      </c>
      <c r="C58" s="2">
        <v>112</v>
      </c>
      <c r="D58" s="11" t="str">
        <f t="shared" si="4"/>
        <v>MILL</v>
      </c>
      <c r="E58" s="12">
        <v>525.1400000000001</v>
      </c>
      <c r="F58" s="13">
        <v>525.1400000000001</v>
      </c>
      <c r="G58" s="14"/>
    </row>
    <row r="59" spans="1:7" x14ac:dyDescent="0.25">
      <c r="A59" s="34" t="str">
        <f>"COIL 2,0X45 P.D. B-1000 SENC"</f>
        <v>COIL 2,0X45 P.D. B-1000 SENC</v>
      </c>
      <c r="B59" s="2">
        <v>6</v>
      </c>
      <c r="C59" s="2">
        <v>800</v>
      </c>
      <c r="D59" s="11" t="str">
        <f t="shared" si="4"/>
        <v>MILL</v>
      </c>
      <c r="E59" s="12">
        <v>4125.0000000000009</v>
      </c>
      <c r="F59" s="13">
        <v>4125.0000000000009</v>
      </c>
      <c r="G59" s="14"/>
    </row>
    <row r="60" spans="1:7" x14ac:dyDescent="0.25">
      <c r="A60" s="34" t="str">
        <f>"COIL 2,0X45 P.D. SENC"</f>
        <v>COIL 2,0X45 P.D. SENC</v>
      </c>
      <c r="B60" s="2">
        <v>6</v>
      </c>
      <c r="C60" s="2">
        <v>113.4</v>
      </c>
      <c r="D60" s="11" t="str">
        <f t="shared" si="4"/>
        <v>MILL</v>
      </c>
      <c r="E60" s="12">
        <v>690.74775</v>
      </c>
      <c r="F60" s="13">
        <v>690.74775</v>
      </c>
      <c r="G60" s="14"/>
    </row>
    <row r="61" spans="1:7" x14ac:dyDescent="0.25">
      <c r="A61" s="34" t="str">
        <f>"COIL 2,0X50 L B-1200 SENC"</f>
        <v>COIL 2,0X50 L B-1200 SENC</v>
      </c>
      <c r="B61" s="2">
        <v>6</v>
      </c>
      <c r="C61" s="2">
        <v>1560</v>
      </c>
      <c r="D61" s="11" t="str">
        <f t="shared" si="4"/>
        <v>MILL</v>
      </c>
      <c r="E61" s="12">
        <v>7936.5000000000018</v>
      </c>
      <c r="F61" s="13">
        <v>7936.5000000000018</v>
      </c>
      <c r="G61" s="14"/>
    </row>
    <row r="62" spans="1:7" x14ac:dyDescent="0.25">
      <c r="A62" s="34" t="str">
        <f>"COIL 2,0X50 P.D. SIMES"</f>
        <v>COIL 2,0X50 P.D. SIMES</v>
      </c>
      <c r="B62" s="2">
        <v>6</v>
      </c>
      <c r="C62" s="2">
        <v>105</v>
      </c>
      <c r="D62" s="11" t="str">
        <f t="shared" si="4"/>
        <v>MILL</v>
      </c>
      <c r="E62" s="12">
        <v>554.90629706719108</v>
      </c>
      <c r="F62" s="13">
        <v>554.90629706719108</v>
      </c>
      <c r="G62" s="14"/>
    </row>
    <row r="63" spans="1:7" x14ac:dyDescent="0.25">
      <c r="A63" s="34" t="str">
        <f>"COIL 2,1X38 A SIMES"</f>
        <v>COIL 2,1X38 A SIMES</v>
      </c>
      <c r="B63" s="2">
        <v>6</v>
      </c>
      <c r="C63" s="2">
        <v>304</v>
      </c>
      <c r="D63" s="11" t="str">
        <f t="shared" si="4"/>
        <v>MILL</v>
      </c>
      <c r="E63" s="12">
        <v>1785.8465636464707</v>
      </c>
      <c r="F63" s="13">
        <v>1785.8465636464707</v>
      </c>
      <c r="G63" s="14"/>
    </row>
    <row r="64" spans="1:7" x14ac:dyDescent="0.25">
      <c r="A64" s="34" t="str">
        <f>"COIL 2,1X45 L B-1000 SIMES"</f>
        <v>COIL 2,1X45 L B-1000 SIMES</v>
      </c>
      <c r="B64" s="2">
        <v>6</v>
      </c>
      <c r="C64" s="2">
        <v>40</v>
      </c>
      <c r="D64" s="11" t="str">
        <f t="shared" si="4"/>
        <v>MILL</v>
      </c>
      <c r="E64" s="12">
        <v>159.4929590343819</v>
      </c>
      <c r="F64" s="13">
        <v>159.4929590343819</v>
      </c>
      <c r="G64" s="14"/>
    </row>
    <row r="65" spans="1:7" x14ac:dyDescent="0.25">
      <c r="A65" s="34" t="str">
        <f>"COIL 2,2X65 A SENC"</f>
        <v>COIL 2,2X65 A SENC</v>
      </c>
      <c r="B65" s="2">
        <v>6</v>
      </c>
      <c r="C65" s="2">
        <v>732</v>
      </c>
      <c r="D65" s="11" t="str">
        <f t="shared" si="4"/>
        <v>MILL</v>
      </c>
      <c r="E65" s="12">
        <v>9742.92</v>
      </c>
      <c r="F65" s="13">
        <v>9742.92</v>
      </c>
      <c r="G65" s="14"/>
    </row>
    <row r="66" spans="1:7" x14ac:dyDescent="0.25">
      <c r="A66" s="34" t="str">
        <f>"COIL COMER 2,8X65 L SENC"</f>
        <v>COIL COMER 2,8X65 L SENC</v>
      </c>
      <c r="B66" s="2">
        <v>6</v>
      </c>
      <c r="C66" s="2">
        <v>60</v>
      </c>
      <c r="D66" s="11" t="str">
        <f t="shared" si="4"/>
        <v>MILL</v>
      </c>
      <c r="E66" s="12">
        <v>1169.8499999999999</v>
      </c>
      <c r="F66" s="13">
        <v>1169.8499999999999</v>
      </c>
      <c r="G66" s="14"/>
    </row>
    <row r="67" spans="1:7" x14ac:dyDescent="0.25">
      <c r="A67" s="34" t="str">
        <f>"COMPRESOR JUN-AIR GENERICO"</f>
        <v>COMPRESOR JUN-AIR GENERICO</v>
      </c>
      <c r="B67" s="2">
        <v>6</v>
      </c>
      <c r="C67" s="2">
        <v>1</v>
      </c>
      <c r="D67" s="11" t="str">
        <f t="shared" ref="D67:D80" si="5">"UN"</f>
        <v>UN</v>
      </c>
      <c r="E67" s="12">
        <v>1586.1828577641481</v>
      </c>
      <c r="F67" s="13">
        <v>1586.1828577641481</v>
      </c>
      <c r="G67" s="14"/>
    </row>
    <row r="68" spans="1:7" x14ac:dyDescent="0.25">
      <c r="A68" s="34" t="str">
        <f>"COMPRESOR simCP24 V.2-16"</f>
        <v>COMPRESOR simCP24 V.2-16</v>
      </c>
      <c r="B68" s="2">
        <v>6</v>
      </c>
      <c r="C68" s="2">
        <v>107</v>
      </c>
      <c r="D68" s="11" t="str">
        <f t="shared" si="5"/>
        <v>UN</v>
      </c>
      <c r="E68" s="12">
        <v>26732.612499999999</v>
      </c>
      <c r="F68" s="13">
        <v>26732.612499999999</v>
      </c>
      <c r="G68" s="14"/>
    </row>
    <row r="69" spans="1:7" x14ac:dyDescent="0.25">
      <c r="A69" s="34" t="str">
        <f>"COMPRESORES VARIOS GENERICO"</f>
        <v>COMPRESORES VARIOS GENERICO</v>
      </c>
      <c r="B69" s="2">
        <v>6</v>
      </c>
      <c r="C69" s="2">
        <v>3</v>
      </c>
      <c r="D69" s="11" t="str">
        <f t="shared" si="5"/>
        <v>UN</v>
      </c>
      <c r="E69" s="12">
        <v>456.90087930950727</v>
      </c>
      <c r="F69" s="13">
        <v>456.90087930950727</v>
      </c>
      <c r="G69" s="14"/>
    </row>
    <row r="70" spans="1:7" x14ac:dyDescent="0.25">
      <c r="A70" s="34" t="str">
        <f>"CONJ. LLAV.MP. 1/2"" COMP. Nº 25 (7 UN)"</f>
        <v>CONJ. LLAV.MP. 1/2" COMP. Nº 25 (7 UN)</v>
      </c>
      <c r="B70" s="2">
        <v>6</v>
      </c>
      <c r="C70" s="2">
        <v>15</v>
      </c>
      <c r="D70" s="11" t="str">
        <f t="shared" si="5"/>
        <v>UN</v>
      </c>
      <c r="E70" s="12">
        <v>172.83750000000001</v>
      </c>
      <c r="F70" s="13">
        <v>0</v>
      </c>
      <c r="G70" s="14" t="s">
        <v>191</v>
      </c>
    </row>
    <row r="71" spans="1:7" x14ac:dyDescent="0.25">
      <c r="A71" s="34" t="str">
        <f>"CONTACSIM LIMPIADOR DE CONTACTOS 250 ml"</f>
        <v>CONTACSIM LIMPIADOR DE CONTACTOS 250 ml</v>
      </c>
      <c r="B71" s="2">
        <v>6</v>
      </c>
      <c r="C71" s="2">
        <v>448</v>
      </c>
      <c r="D71" s="11" t="str">
        <f t="shared" si="5"/>
        <v>UN</v>
      </c>
      <c r="E71" s="12">
        <v>2464.0000000000005</v>
      </c>
      <c r="F71" s="13">
        <v>2464.0000000000005</v>
      </c>
      <c r="G71" s="14"/>
    </row>
    <row r="72" spans="1:7" x14ac:dyDescent="0.25">
      <c r="A72" s="34" t="str">
        <f>"CRISTAL LAMPARA 48 LEDS PIEZA Nº.2"</f>
        <v>CRISTAL LAMPARA 48 LEDS PIEZA Nº.2</v>
      </c>
      <c r="B72" s="2">
        <v>6</v>
      </c>
      <c r="C72" s="2">
        <v>20</v>
      </c>
      <c r="D72" s="11" t="str">
        <f t="shared" si="5"/>
        <v>UN</v>
      </c>
      <c r="E72" s="12">
        <v>51.7</v>
      </c>
      <c r="F72" s="13">
        <v>51.7</v>
      </c>
      <c r="G72" s="14"/>
    </row>
    <row r="73" spans="1:7" x14ac:dyDescent="0.25">
      <c r="A73" s="34" t="str">
        <f>"EMBELLECEDOR LAMPARA 48 LEDS PIEZA Nº.10"</f>
        <v>EMBELLECEDOR LAMPARA 48 LEDS PIEZA Nº.10</v>
      </c>
      <c r="B73" s="2">
        <v>6</v>
      </c>
      <c r="C73" s="2">
        <v>20</v>
      </c>
      <c r="D73" s="11" t="str">
        <f t="shared" si="5"/>
        <v>UN</v>
      </c>
      <c r="E73" s="12">
        <v>67.100000000000009</v>
      </c>
      <c r="F73" s="13">
        <v>67.100000000000009</v>
      </c>
      <c r="G73" s="14"/>
    </row>
    <row r="74" spans="1:7" x14ac:dyDescent="0.25">
      <c r="A74" s="34" t="str">
        <f>"ENCOLADOR Ø 18 GENERICO"</f>
        <v>ENCOLADOR Ø 18 GENERICO</v>
      </c>
      <c r="B74" s="2">
        <v>6</v>
      </c>
      <c r="C74" s="2">
        <v>1</v>
      </c>
      <c r="D74" s="11" t="str">
        <f t="shared" si="5"/>
        <v>UN</v>
      </c>
      <c r="E74" s="12">
        <v>0</v>
      </c>
      <c r="F74" s="13">
        <v>169.73933333333332</v>
      </c>
      <c r="G74" s="14"/>
    </row>
    <row r="75" spans="1:7" x14ac:dyDescent="0.25">
      <c r="A75" s="34" t="str">
        <f>"ESTUCHE ATORN. SALKI 3,6V + 102 PUNTAS."</f>
        <v>ESTUCHE ATORN. SALKI 3,6V + 102 PUNTAS.</v>
      </c>
      <c r="B75" s="2">
        <v>6</v>
      </c>
      <c r="C75" s="2">
        <v>116</v>
      </c>
      <c r="D75" s="11" t="str">
        <f t="shared" si="5"/>
        <v>UN</v>
      </c>
      <c r="E75" s="12">
        <v>5742</v>
      </c>
      <c r="F75" s="13">
        <v>5742</v>
      </c>
      <c r="G75" s="14"/>
    </row>
    <row r="76" spans="1:7" x14ac:dyDescent="0.25">
      <c r="A76" s="34" t="str">
        <f>"ESTUCHE PROFESIONAL 172 PC HFDEXT"</f>
        <v>ESTUCHE PROFESIONAL 172 PC HFDEXT</v>
      </c>
      <c r="B76" s="2">
        <v>6</v>
      </c>
      <c r="C76" s="2">
        <v>65</v>
      </c>
      <c r="D76" s="11" t="str">
        <f t="shared" si="5"/>
        <v>UN</v>
      </c>
      <c r="E76" s="12">
        <v>18947.500000000004</v>
      </c>
      <c r="F76" s="13">
        <v>18947.500000000004</v>
      </c>
      <c r="G76" s="14"/>
    </row>
    <row r="77" spans="1:7" x14ac:dyDescent="0.25">
      <c r="A77" s="35" t="str">
        <f>"EXPOSITOR MALETINES SALKI"</f>
        <v>EXPOSITOR MALETINES SALKI</v>
      </c>
      <c r="B77" s="2">
        <v>6</v>
      </c>
      <c r="C77" s="2">
        <v>56</v>
      </c>
      <c r="D77" s="11" t="str">
        <f t="shared" si="5"/>
        <v>UN</v>
      </c>
      <c r="E77" s="12">
        <v>0</v>
      </c>
      <c r="F77" s="13">
        <v>0</v>
      </c>
      <c r="G77" s="14" t="s">
        <v>190</v>
      </c>
    </row>
    <row r="78" spans="1:7" x14ac:dyDescent="0.25">
      <c r="A78" s="34" t="str">
        <f>"FILTRO ENTRADA PULVERIZADOR Nº37"</f>
        <v>FILTRO ENTRADA PULVERIZADOR Nº37</v>
      </c>
      <c r="B78" s="2">
        <v>6</v>
      </c>
      <c r="C78" s="2">
        <v>16</v>
      </c>
      <c r="D78" s="11" t="str">
        <f t="shared" si="5"/>
        <v>UN</v>
      </c>
      <c r="E78" s="12">
        <v>98.999999999999986</v>
      </c>
      <c r="F78" s="13">
        <v>98.999999999999986</v>
      </c>
      <c r="G78" s="14"/>
    </row>
    <row r="79" spans="1:7" x14ac:dyDescent="0.25">
      <c r="A79" s="34" t="str">
        <f>"GANCHO LAMPARA 48 LEDS PIEZA Nº.8"</f>
        <v>GANCHO LAMPARA 48 LEDS PIEZA Nº.8</v>
      </c>
      <c r="B79" s="2">
        <v>6</v>
      </c>
      <c r="C79" s="2">
        <v>10</v>
      </c>
      <c r="D79" s="11" t="str">
        <f t="shared" si="5"/>
        <v>UN</v>
      </c>
      <c r="E79" s="12">
        <v>25.300000000000004</v>
      </c>
      <c r="F79" s="13">
        <v>0</v>
      </c>
      <c r="G79" s="14" t="s">
        <v>191</v>
      </c>
    </row>
    <row r="80" spans="1:7" x14ac:dyDescent="0.25">
      <c r="A80" s="34" t="str">
        <f>"GAVIONES MANUAL GENERICO"</f>
        <v>GAVIONES MANUAL GENERICO</v>
      </c>
      <c r="B80" s="2">
        <v>6</v>
      </c>
      <c r="C80" s="2">
        <v>2</v>
      </c>
      <c r="D80" s="11" t="str">
        <f t="shared" si="5"/>
        <v>UN</v>
      </c>
      <c r="E80" s="12">
        <v>0</v>
      </c>
      <c r="F80" s="13">
        <v>0</v>
      </c>
      <c r="G80" s="14" t="s">
        <v>190</v>
      </c>
    </row>
    <row r="81" spans="1:7" x14ac:dyDescent="0.25">
      <c r="A81" s="34" t="str">
        <f>"GOMA ANCLA Nº 8 PLUS NATURAL CAUCHO"</f>
        <v>GOMA ANCLA Nº 8 PLUS NATURAL CAUCHO</v>
      </c>
      <c r="B81" s="2">
        <v>6</v>
      </c>
      <c r="C81" s="2">
        <v>144</v>
      </c>
      <c r="D81" s="11" t="str">
        <f>"MILL"</f>
        <v>MILL</v>
      </c>
      <c r="E81" s="12">
        <v>4486.102685751046</v>
      </c>
      <c r="F81" s="13">
        <v>4486.102685751046</v>
      </c>
      <c r="G81" s="14"/>
    </row>
    <row r="82" spans="1:7" x14ac:dyDescent="0.25">
      <c r="A82" s="34" t="str">
        <f>"GRAP. CARTON L-32 GENERICA"</f>
        <v>GRAP. CARTON L-32 GENERICA</v>
      </c>
      <c r="B82" s="2">
        <v>6</v>
      </c>
      <c r="C82" s="2">
        <v>2</v>
      </c>
      <c r="D82" s="11" t="str">
        <f t="shared" ref="D82:D90" si="6">"UN"</f>
        <v>UN</v>
      </c>
      <c r="E82" s="12">
        <v>400.79024500833975</v>
      </c>
      <c r="F82" s="13">
        <v>400.79024500833975</v>
      </c>
      <c r="G82" s="14"/>
    </row>
    <row r="83" spans="1:7" x14ac:dyDescent="0.25">
      <c r="A83" s="34" t="str">
        <f>"GRAP. CHAPA CORRUGADA W GENERICA"</f>
        <v>GRAP. CHAPA CORRUGADA W GENERICA</v>
      </c>
      <c r="B83" s="2">
        <v>6</v>
      </c>
      <c r="C83" s="2">
        <v>1</v>
      </c>
      <c r="D83" s="11" t="str">
        <f t="shared" si="6"/>
        <v>UN</v>
      </c>
      <c r="E83" s="12">
        <v>152.30029310316908</v>
      </c>
      <c r="F83" s="13">
        <v>152.30029310316908</v>
      </c>
      <c r="G83" s="14"/>
    </row>
    <row r="84" spans="1:7" x14ac:dyDescent="0.25">
      <c r="A84" s="34" t="str">
        <f>"GRAP. L-G4450 GENERICA"</f>
        <v>GRAP. L-G4450 GENERICA</v>
      </c>
      <c r="B84" s="2">
        <v>6</v>
      </c>
      <c r="C84" s="2">
        <v>1</v>
      </c>
      <c r="D84" s="11" t="str">
        <f t="shared" si="6"/>
        <v>UN</v>
      </c>
      <c r="E84" s="12">
        <v>408.87110198646093</v>
      </c>
      <c r="F84" s="13">
        <v>408.87110198646093</v>
      </c>
      <c r="G84" s="14"/>
    </row>
    <row r="85" spans="1:7" x14ac:dyDescent="0.25">
      <c r="A85" s="34" t="str">
        <f>"GRAP. L-RT GENERICA MOD 83"</f>
        <v>GRAP. L-RT GENERICA MOD 83</v>
      </c>
      <c r="B85" s="2">
        <v>6</v>
      </c>
      <c r="C85" s="2">
        <v>1</v>
      </c>
      <c r="D85" s="11" t="str">
        <f t="shared" si="6"/>
        <v>UN</v>
      </c>
      <c r="E85" s="12">
        <v>400.79024500833975</v>
      </c>
      <c r="F85" s="13">
        <v>400.79024500833975</v>
      </c>
      <c r="G85" s="14"/>
    </row>
    <row r="86" spans="1:7" x14ac:dyDescent="0.25">
      <c r="A86" s="34" t="str">
        <f>"GRAP. NEU CRT4 C-20"</f>
        <v>GRAP. NEU CRT4 C-20</v>
      </c>
      <c r="B86" s="2">
        <v>6</v>
      </c>
      <c r="C86" s="2">
        <v>1</v>
      </c>
      <c r="D86" s="11" t="str">
        <f t="shared" si="6"/>
        <v>UN</v>
      </c>
      <c r="E86" s="12">
        <v>4052.7712499999993</v>
      </c>
      <c r="F86" s="13">
        <v>4052.7712499999993</v>
      </c>
      <c r="G86" s="14"/>
    </row>
    <row r="87" spans="1:7" x14ac:dyDescent="0.25">
      <c r="A87" s="34" t="str">
        <f>"GRAP. SLS20-M (G-4450)"</f>
        <v>GRAP. SLS20-M (G-4450)</v>
      </c>
      <c r="B87" s="2">
        <v>6</v>
      </c>
      <c r="C87" s="2">
        <v>1</v>
      </c>
      <c r="D87" s="11" t="str">
        <f t="shared" si="6"/>
        <v>UN</v>
      </c>
      <c r="E87" s="12">
        <v>689.31846559945484</v>
      </c>
      <c r="F87" s="13">
        <v>689.31846559945484</v>
      </c>
      <c r="G87" s="14"/>
    </row>
    <row r="88" spans="1:7" x14ac:dyDescent="0.25">
      <c r="A88" s="34" t="str">
        <f>"GRAP. SLS25 - M (G4450)"</f>
        <v>GRAP. SLS25 - M (G4450)</v>
      </c>
      <c r="B88" s="2">
        <v>6</v>
      </c>
      <c r="C88" s="2">
        <v>1</v>
      </c>
      <c r="D88" s="11" t="str">
        <f t="shared" si="6"/>
        <v>UN</v>
      </c>
      <c r="E88" s="12">
        <v>738.29571032986257</v>
      </c>
      <c r="F88" s="13">
        <v>738.29571032986257</v>
      </c>
      <c r="G88" s="14"/>
    </row>
    <row r="89" spans="1:7" x14ac:dyDescent="0.25">
      <c r="A89" s="34" t="str">
        <f>"GRAP.NEU. HR-60-30"</f>
        <v>GRAP.NEU. HR-60-30</v>
      </c>
      <c r="B89" s="2">
        <v>6</v>
      </c>
      <c r="C89" s="2">
        <v>1</v>
      </c>
      <c r="D89" s="11" t="str">
        <f t="shared" si="6"/>
        <v>UN</v>
      </c>
      <c r="E89" s="12">
        <v>1737.0151164424383</v>
      </c>
      <c r="F89" s="13">
        <v>1737.0151164424383</v>
      </c>
      <c r="G89" s="14"/>
    </row>
    <row r="90" spans="1:7" x14ac:dyDescent="0.25">
      <c r="A90" s="34" t="str">
        <f>"GRAP.SIM G92 GENERICA"</f>
        <v>GRAP.SIM G92 GENERICA</v>
      </c>
      <c r="B90" s="2">
        <v>6</v>
      </c>
      <c r="C90" s="2">
        <v>1</v>
      </c>
      <c r="D90" s="11" t="str">
        <f t="shared" si="6"/>
        <v>UN</v>
      </c>
      <c r="E90" s="12">
        <v>0</v>
      </c>
      <c r="F90" s="13">
        <v>169.73933333333332</v>
      </c>
      <c r="G90" s="14"/>
    </row>
    <row r="91" spans="1:7" x14ac:dyDescent="0.25">
      <c r="A91" s="34" t="str">
        <f>"GRAPA 110/16"</f>
        <v>GRAPA 110/16</v>
      </c>
      <c r="B91" s="2">
        <v>6</v>
      </c>
      <c r="C91" s="2">
        <v>1320</v>
      </c>
      <c r="D91" s="11" t="str">
        <f t="shared" ref="D91:D102" si="7">"MILL"</f>
        <v>MILL</v>
      </c>
      <c r="E91" s="12">
        <v>3521.1</v>
      </c>
      <c r="F91" s="13">
        <v>3521.1</v>
      </c>
      <c r="G91" s="14"/>
    </row>
    <row r="92" spans="1:7" x14ac:dyDescent="0.25">
      <c r="A92" s="34" t="str">
        <f>"GRAPA 110/18"</f>
        <v>GRAPA 110/18</v>
      </c>
      <c r="B92" s="2">
        <v>6</v>
      </c>
      <c r="C92" s="2">
        <v>1140</v>
      </c>
      <c r="D92" s="11" t="str">
        <f t="shared" si="7"/>
        <v>MILL</v>
      </c>
      <c r="E92" s="12">
        <v>4044.1500000000005</v>
      </c>
      <c r="F92" s="13">
        <v>4044.1500000000005</v>
      </c>
      <c r="G92" s="14"/>
    </row>
    <row r="93" spans="1:7" x14ac:dyDescent="0.25">
      <c r="A93" s="34" t="str">
        <f>"GRAPA 53/6"</f>
        <v>GRAPA 53/6</v>
      </c>
      <c r="B93" s="2">
        <v>6</v>
      </c>
      <c r="C93" s="2">
        <v>3060</v>
      </c>
      <c r="D93" s="11" t="str">
        <f t="shared" si="7"/>
        <v>MILL</v>
      </c>
      <c r="E93" s="12">
        <v>8709.5249999999996</v>
      </c>
      <c r="F93" s="13">
        <v>8709.5249999999996</v>
      </c>
      <c r="G93" s="14"/>
    </row>
    <row r="94" spans="1:7" x14ac:dyDescent="0.25">
      <c r="A94" s="34" t="str">
        <f>"GRAPA LIGERA G3-14 (P)"</f>
        <v>GRAPA LIGERA G3-14 (P)</v>
      </c>
      <c r="B94" s="2">
        <v>6</v>
      </c>
      <c r="C94" s="2">
        <v>1512</v>
      </c>
      <c r="D94" s="11" t="str">
        <f t="shared" si="7"/>
        <v>MILL</v>
      </c>
      <c r="E94" s="12">
        <v>6507.27</v>
      </c>
      <c r="F94" s="13">
        <v>6507.27</v>
      </c>
      <c r="G94" s="14"/>
    </row>
    <row r="95" spans="1:7" x14ac:dyDescent="0.25">
      <c r="A95" s="34" t="str">
        <f>"GRAPA LIGERA G3-8 STANDA"</f>
        <v>GRAPA LIGERA G3-8 STANDA</v>
      </c>
      <c r="B95" s="2">
        <v>6</v>
      </c>
      <c r="C95" s="2">
        <v>400</v>
      </c>
      <c r="D95" s="11" t="str">
        <f t="shared" si="7"/>
        <v>MILL</v>
      </c>
      <c r="E95" s="12">
        <v>225.5</v>
      </c>
      <c r="F95" s="13">
        <v>225.5</v>
      </c>
      <c r="G95" s="14"/>
    </row>
    <row r="96" spans="1:7" x14ac:dyDescent="0.25">
      <c r="A96" s="34" t="str">
        <f>"GRAPA LIGERA N5-8 GALVA."</f>
        <v>GRAPA LIGERA N5-8 GALVA.</v>
      </c>
      <c r="B96" s="2">
        <v>6</v>
      </c>
      <c r="C96" s="2">
        <v>676.8</v>
      </c>
      <c r="D96" s="11" t="str">
        <f t="shared" si="7"/>
        <v>MILL</v>
      </c>
      <c r="E96" s="12">
        <v>1684.3860000000002</v>
      </c>
      <c r="F96" s="13">
        <v>1684.3860000000002</v>
      </c>
      <c r="G96" s="14"/>
    </row>
    <row r="97" spans="1:7" x14ac:dyDescent="0.25">
      <c r="A97" s="34" t="str">
        <f>"GRAPA LINEA 80-12 NEGRA"</f>
        <v>GRAPA LINEA 80-12 NEGRA</v>
      </c>
      <c r="B97" s="2">
        <v>6</v>
      </c>
      <c r="C97" s="2">
        <v>1440</v>
      </c>
      <c r="D97" s="11" t="str">
        <f t="shared" si="7"/>
        <v>MILL</v>
      </c>
      <c r="E97" s="12">
        <v>1049.4000000000001</v>
      </c>
      <c r="F97" s="13">
        <v>1049.4000000000001</v>
      </c>
      <c r="G97" s="14"/>
    </row>
    <row r="98" spans="1:7" x14ac:dyDescent="0.25">
      <c r="A98" s="34" t="str">
        <f>"GRAPA LINEA 80-6 STANDAR"</f>
        <v>GRAPA LINEA 80-6 STANDAR</v>
      </c>
      <c r="B98" s="2">
        <v>6</v>
      </c>
      <c r="C98" s="2">
        <v>5280</v>
      </c>
      <c r="D98" s="11" t="str">
        <f t="shared" si="7"/>
        <v>MILL</v>
      </c>
      <c r="E98" s="12">
        <v>3330.0071872713984</v>
      </c>
      <c r="F98" s="13">
        <v>3330.0071872713984</v>
      </c>
      <c r="G98" s="14"/>
    </row>
    <row r="99" spans="1:7" x14ac:dyDescent="0.25">
      <c r="A99" s="34" t="str">
        <f>"GRAPA LINEA 80-8 T."</f>
        <v>GRAPA LINEA 80-8 T.</v>
      </c>
      <c r="B99" s="2">
        <v>6</v>
      </c>
      <c r="C99" s="2">
        <v>220</v>
      </c>
      <c r="D99" s="11" t="str">
        <f t="shared" si="7"/>
        <v>MILL</v>
      </c>
      <c r="E99" s="12">
        <v>142.17499999999998</v>
      </c>
      <c r="F99" s="13">
        <v>142.17499999999998</v>
      </c>
      <c r="G99" s="14"/>
    </row>
    <row r="100" spans="1:7" x14ac:dyDescent="0.25">
      <c r="A100" s="34" t="str">
        <f>"GRAPA LINEA 84-12"</f>
        <v>GRAPA LINEA 84-12</v>
      </c>
      <c r="B100" s="2">
        <v>6</v>
      </c>
      <c r="C100" s="2">
        <v>240</v>
      </c>
      <c r="D100" s="11" t="str">
        <f t="shared" si="7"/>
        <v>MILL</v>
      </c>
      <c r="E100" s="12">
        <v>267.30000000000007</v>
      </c>
      <c r="F100" s="13">
        <v>267.30000000000007</v>
      </c>
      <c r="G100" s="14"/>
    </row>
    <row r="101" spans="1:7" x14ac:dyDescent="0.25">
      <c r="A101" s="34" t="str">
        <f>"GRAPA MEDIA N4450-30 STA"</f>
        <v>GRAPA MEDIA N4450-30 STA</v>
      </c>
      <c r="B101" s="2">
        <v>6</v>
      </c>
      <c r="C101" s="2">
        <v>1290</v>
      </c>
      <c r="D101" s="11" t="str">
        <f t="shared" si="7"/>
        <v>MILL</v>
      </c>
      <c r="E101" s="12">
        <v>3387.8624999999997</v>
      </c>
      <c r="F101" s="13">
        <v>3387.8624999999997</v>
      </c>
      <c r="G101" s="14"/>
    </row>
    <row r="102" spans="1:7" x14ac:dyDescent="0.25">
      <c r="A102" s="34" t="str">
        <f>"GRAPA SJK-10"</f>
        <v>GRAPA SJK-10</v>
      </c>
      <c r="B102" s="2">
        <v>6</v>
      </c>
      <c r="C102" s="2">
        <v>2800</v>
      </c>
      <c r="D102" s="11" t="str">
        <f t="shared" si="7"/>
        <v>MILL</v>
      </c>
      <c r="E102" s="12">
        <v>2464</v>
      </c>
      <c r="F102" s="13">
        <v>2464</v>
      </c>
      <c r="G102" s="14"/>
    </row>
    <row r="103" spans="1:7" x14ac:dyDescent="0.25">
      <c r="A103" s="34" t="s">
        <v>193</v>
      </c>
      <c r="B103" s="2">
        <v>6</v>
      </c>
      <c r="C103" s="2">
        <v>1300</v>
      </c>
      <c r="D103" s="11" t="str">
        <f t="shared" ref="D103:D111" si="8">"UN"</f>
        <v>UN</v>
      </c>
      <c r="E103" s="12">
        <v>0</v>
      </c>
      <c r="F103" s="13">
        <v>17432.229533333335</v>
      </c>
      <c r="G103" s="14"/>
    </row>
    <row r="104" spans="1:7" x14ac:dyDescent="0.25">
      <c r="A104" s="34" t="str">
        <f>"GRAPADORA F21T 92-25A"</f>
        <v>GRAPADORA F21T 92-25A</v>
      </c>
      <c r="B104" s="2">
        <v>6</v>
      </c>
      <c r="C104" s="2">
        <v>2</v>
      </c>
      <c r="D104" s="11" t="str">
        <f t="shared" si="8"/>
        <v>UN</v>
      </c>
      <c r="E104" s="12">
        <v>1086.2499999999998</v>
      </c>
      <c r="F104" s="13">
        <v>1086.2499999999998</v>
      </c>
      <c r="G104" s="14"/>
    </row>
    <row r="105" spans="1:7" x14ac:dyDescent="0.25">
      <c r="A105" s="34" t="str">
        <f>"GRAPADORA F-97-19"</f>
        <v>GRAPADORA F-97-19</v>
      </c>
      <c r="B105" s="2">
        <v>6</v>
      </c>
      <c r="C105" s="2">
        <v>2</v>
      </c>
      <c r="D105" s="11" t="str">
        <f t="shared" si="8"/>
        <v>UN</v>
      </c>
      <c r="E105" s="12">
        <v>1373.7319811320754</v>
      </c>
      <c r="F105" s="13">
        <v>1373.7319811320754</v>
      </c>
      <c r="G105" s="14"/>
    </row>
    <row r="106" spans="1:7" x14ac:dyDescent="0.25">
      <c r="A106" s="34" t="str">
        <f>"GRAPADORA ROC-100"</f>
        <v>GRAPADORA ROC-100</v>
      </c>
      <c r="B106" s="2">
        <v>6</v>
      </c>
      <c r="C106" s="2">
        <v>13</v>
      </c>
      <c r="D106" s="11" t="str">
        <f t="shared" si="8"/>
        <v>UN</v>
      </c>
      <c r="E106" s="12">
        <v>3237.3412500000004</v>
      </c>
      <c r="F106" s="13">
        <v>3237.3412500000004</v>
      </c>
      <c r="G106" s="14"/>
    </row>
    <row r="107" spans="1:7" x14ac:dyDescent="0.25">
      <c r="A107" s="34" t="str">
        <f>"GRAPADORA SIMES MOD. 83"</f>
        <v>GRAPADORA SIMES MOD. 83</v>
      </c>
      <c r="B107" s="2">
        <v>6</v>
      </c>
      <c r="C107" s="2">
        <v>16</v>
      </c>
      <c r="D107" s="11" t="str">
        <f t="shared" si="8"/>
        <v>UN</v>
      </c>
      <c r="E107" s="12">
        <v>31178.400000000005</v>
      </c>
      <c r="F107" s="13">
        <v>31178.400000000005</v>
      </c>
      <c r="G107" s="14"/>
    </row>
    <row r="108" spans="1:7" x14ac:dyDescent="0.25">
      <c r="A108" s="34" t="s">
        <v>194</v>
      </c>
      <c r="B108" s="2">
        <v>6</v>
      </c>
      <c r="C108" s="2">
        <v>12</v>
      </c>
      <c r="D108" s="11" t="str">
        <f t="shared" si="8"/>
        <v>UN</v>
      </c>
      <c r="E108" s="12">
        <v>0</v>
      </c>
      <c r="F108" s="13">
        <v>3666.3696</v>
      </c>
      <c r="G108" s="14"/>
    </row>
    <row r="109" spans="1:7" x14ac:dyDescent="0.25">
      <c r="A109" s="34" t="str">
        <f>"HOJA SIERRA 200mm. 10/14 TPI"</f>
        <v>HOJA SIERRA 200mm. 10/14 TPI</v>
      </c>
      <c r="B109" s="2">
        <v>6</v>
      </c>
      <c r="C109" s="2">
        <v>644</v>
      </c>
      <c r="D109" s="11" t="str">
        <f t="shared" si="8"/>
        <v>UN</v>
      </c>
      <c r="E109" s="12">
        <v>3125.8150000000001</v>
      </c>
      <c r="F109" s="13">
        <v>3125.8150000000001</v>
      </c>
      <c r="G109" s="14"/>
    </row>
    <row r="110" spans="1:7" x14ac:dyDescent="0.25">
      <c r="A110" s="34" t="str">
        <f>"HOJA SIERRA 300mm. 10/14 TPI"</f>
        <v>HOJA SIERRA 300mm. 10/14 TPI</v>
      </c>
      <c r="B110" s="2">
        <v>6</v>
      </c>
      <c r="C110" s="2">
        <v>50</v>
      </c>
      <c r="D110" s="11" t="str">
        <f t="shared" si="8"/>
        <v>UN</v>
      </c>
      <c r="E110" s="12">
        <v>389.12500000000006</v>
      </c>
      <c r="F110" s="13">
        <v>389.12500000000006</v>
      </c>
      <c r="G110" s="14"/>
    </row>
    <row r="111" spans="1:7" x14ac:dyDescent="0.25">
      <c r="A111" s="34" t="str">
        <f>"KIT CEPILLOS"</f>
        <v>KIT CEPILLOS</v>
      </c>
      <c r="B111" s="2">
        <v>6</v>
      </c>
      <c r="C111" s="2">
        <v>42</v>
      </c>
      <c r="D111" s="11" t="str">
        <f t="shared" si="8"/>
        <v>UN</v>
      </c>
      <c r="E111" s="12">
        <v>723.03</v>
      </c>
      <c r="F111" s="13">
        <v>723.03</v>
      </c>
      <c r="G111" s="14"/>
    </row>
    <row r="112" spans="1:7" x14ac:dyDescent="0.25">
      <c r="A112" s="34" t="s">
        <v>195</v>
      </c>
      <c r="B112" s="2">
        <v>6</v>
      </c>
      <c r="C112" s="2">
        <v>8</v>
      </c>
      <c r="D112" s="11" t="s">
        <v>1</v>
      </c>
      <c r="E112" s="12">
        <v>0</v>
      </c>
      <c r="F112" s="13">
        <v>896.22367999999994</v>
      </c>
      <c r="G112" s="14"/>
    </row>
    <row r="113" spans="1:7" x14ac:dyDescent="0.25">
      <c r="A113" s="34" t="str">
        <f>"LANZA PULV. COMPLETA  Nº13 -11-16-16.1-1"</f>
        <v>LANZA PULV. COMPLETA  Nº13 -11-16-16.1-1</v>
      </c>
      <c r="B113" s="2">
        <v>6</v>
      </c>
      <c r="C113" s="2">
        <v>224</v>
      </c>
      <c r="D113" s="11" t="str">
        <f>"UN"</f>
        <v>UN</v>
      </c>
      <c r="E113" s="12">
        <v>3708.3199999999997</v>
      </c>
      <c r="F113" s="13">
        <v>3708.3199999999997</v>
      </c>
      <c r="G113" s="14"/>
    </row>
    <row r="114" spans="1:7" x14ac:dyDescent="0.25">
      <c r="A114" s="34" t="str">
        <f>"LUBRICANTE B-OIL"</f>
        <v>LUBRICANTE B-OIL</v>
      </c>
      <c r="B114" s="2">
        <v>6</v>
      </c>
      <c r="C114" s="2">
        <v>60</v>
      </c>
      <c r="D114" s="11" t="str">
        <f>"UN"</f>
        <v>UN</v>
      </c>
      <c r="E114" s="12">
        <v>209.11336752684727</v>
      </c>
      <c r="F114" s="13">
        <v>209.11336752684727</v>
      </c>
      <c r="G114" s="14"/>
    </row>
    <row r="115" spans="1:7" x14ac:dyDescent="0.25">
      <c r="A115" s="34" t="str">
        <f>"M4 CON VALONA TUERCA REMACHABLE"</f>
        <v>M4 CON VALONA TUERCA REMACHABLE</v>
      </c>
      <c r="B115" s="2">
        <v>6</v>
      </c>
      <c r="C115" s="2">
        <v>10</v>
      </c>
      <c r="D115" s="11" t="str">
        <f>"MILL"</f>
        <v>MILL</v>
      </c>
      <c r="E115" s="12">
        <v>441.60684893928322</v>
      </c>
      <c r="F115" s="13">
        <v>441.60684893928322</v>
      </c>
      <c r="G115" s="14"/>
    </row>
    <row r="116" spans="1:7" x14ac:dyDescent="0.25">
      <c r="A116" s="34" t="str">
        <f>"M4 INOX CON VALONA TUERCA REMACHABLE"</f>
        <v>M4 INOX CON VALONA TUERCA REMACHABLE</v>
      </c>
      <c r="B116" s="2">
        <v>6</v>
      </c>
      <c r="C116" s="2">
        <v>19.5</v>
      </c>
      <c r="D116" s="11" t="str">
        <f>"MILL"</f>
        <v>MILL</v>
      </c>
      <c r="E116" s="12">
        <v>9758.4282570422547</v>
      </c>
      <c r="F116" s="13">
        <v>9758.4282570422547</v>
      </c>
      <c r="G116" s="14"/>
    </row>
    <row r="117" spans="1:7" x14ac:dyDescent="0.25">
      <c r="A117" s="34" t="str">
        <f>"MALETA CANVAS BAG SIMES N&amp;N"</f>
        <v>MALETA CANVAS BAG SIMES N&amp;N</v>
      </c>
      <c r="B117" s="2">
        <v>6</v>
      </c>
      <c r="C117" s="2">
        <v>42</v>
      </c>
      <c r="D117" s="11" t="str">
        <f>"UN"</f>
        <v>UN</v>
      </c>
      <c r="E117" s="12">
        <v>0</v>
      </c>
      <c r="F117" s="13">
        <v>0</v>
      </c>
      <c r="G117" s="14" t="s">
        <v>190</v>
      </c>
    </row>
    <row r="118" spans="1:7" x14ac:dyDescent="0.25">
      <c r="A118" s="34" t="str">
        <f>"MANETA PULVERIZADOR Nº14"</f>
        <v>MANETA PULVERIZADOR Nº14</v>
      </c>
      <c r="B118" s="2">
        <v>6</v>
      </c>
      <c r="C118" s="2">
        <v>179</v>
      </c>
      <c r="D118" s="11" t="str">
        <f>"UN"</f>
        <v>UN</v>
      </c>
      <c r="E118" s="12">
        <v>2079.7562499999999</v>
      </c>
      <c r="F118" s="13">
        <v>2079.7562499999999</v>
      </c>
      <c r="G118" s="14"/>
    </row>
    <row r="119" spans="1:7" x14ac:dyDescent="0.25">
      <c r="A119" s="34" t="str">
        <f>"MANGUERA PULVERIZADOR Nº19"</f>
        <v>MANGUERA PULVERIZADOR Nº19</v>
      </c>
      <c r="B119" s="2">
        <v>6</v>
      </c>
      <c r="C119" s="2">
        <v>155</v>
      </c>
      <c r="D119" s="11" t="str">
        <f>"UN"</f>
        <v>UN</v>
      </c>
      <c r="E119" s="12">
        <v>1206.2875000000004</v>
      </c>
      <c r="F119" s="13">
        <v>1206.2875000000004</v>
      </c>
      <c r="G119" s="14"/>
    </row>
    <row r="120" spans="1:7" x14ac:dyDescent="0.25">
      <c r="A120" s="34" t="str">
        <f>"MILLAR GRAPA HILO TELEF. PARA ROC-77"</f>
        <v>MILLAR GRAPA HILO TELEF. PARA ROC-77</v>
      </c>
      <c r="B120" s="2">
        <v>6</v>
      </c>
      <c r="C120" s="2">
        <v>1019</v>
      </c>
      <c r="D120" s="11" t="str">
        <f>"MILL"</f>
        <v>MILL</v>
      </c>
      <c r="E120" s="12">
        <v>2970.3850000000002</v>
      </c>
      <c r="F120" s="13">
        <v>2970.3850000000002</v>
      </c>
      <c r="G120" s="14"/>
    </row>
    <row r="121" spans="1:7" x14ac:dyDescent="0.25">
      <c r="A121" s="34" t="str">
        <f>"PERCHA METAL"</f>
        <v>PERCHA METAL</v>
      </c>
      <c r="B121" s="2">
        <v>6</v>
      </c>
      <c r="C121" s="2">
        <v>12.65</v>
      </c>
      <c r="D121" s="11" t="str">
        <f>"MILL"</f>
        <v>MILL</v>
      </c>
      <c r="E121" s="12">
        <v>3880.5456250000007</v>
      </c>
      <c r="F121" s="13">
        <v>3880.5456250000007</v>
      </c>
      <c r="G121" s="14"/>
    </row>
    <row r="122" spans="1:7" x14ac:dyDescent="0.25">
      <c r="A122" s="34" t="str">
        <f>"PERCHA PLASTICO"</f>
        <v>PERCHA PLASTICO</v>
      </c>
      <c r="B122" s="2">
        <v>6</v>
      </c>
      <c r="C122" s="2">
        <v>0.8</v>
      </c>
      <c r="D122" s="11" t="str">
        <f>"MILL"</f>
        <v>MILL</v>
      </c>
      <c r="E122" s="12">
        <v>129.393</v>
      </c>
      <c r="F122" s="13">
        <v>129.393</v>
      </c>
      <c r="G122" s="14"/>
    </row>
    <row r="123" spans="1:7" x14ac:dyDescent="0.25">
      <c r="A123" s="34" t="str">
        <f>"PIEZA LLAVE DE IMPACTO 1/2"" COMP. Nº 03"</f>
        <v>PIEZA LLAVE DE IMPACTO 1/2" COMP. Nº 03</v>
      </c>
      <c r="B123" s="2">
        <v>6</v>
      </c>
      <c r="C123" s="2">
        <v>4</v>
      </c>
      <c r="D123" s="11" t="str">
        <f t="shared" ref="D123:D146" si="9">"UN"</f>
        <v>UN</v>
      </c>
      <c r="E123" s="12">
        <v>8.91</v>
      </c>
      <c r="F123" s="13">
        <v>0</v>
      </c>
      <c r="G123" s="14" t="s">
        <v>191</v>
      </c>
    </row>
    <row r="124" spans="1:7" x14ac:dyDescent="0.25">
      <c r="A124" s="34" t="str">
        <f>"PIEZA LLAVE DE IMPACTO 1/2"" COMP. Nº 05"</f>
        <v>PIEZA LLAVE DE IMPACTO 1/2" COMP. Nº 05</v>
      </c>
      <c r="B124" s="2">
        <v>6</v>
      </c>
      <c r="C124" s="2">
        <v>3</v>
      </c>
      <c r="D124" s="11" t="str">
        <f t="shared" si="9"/>
        <v>UN</v>
      </c>
      <c r="E124" s="12">
        <v>5.5687500000000032</v>
      </c>
      <c r="F124" s="13">
        <v>0</v>
      </c>
      <c r="G124" s="14" t="s">
        <v>191</v>
      </c>
    </row>
    <row r="125" spans="1:7" x14ac:dyDescent="0.25">
      <c r="A125" s="34" t="str">
        <f>"PIEZA LLAVE DE IMPACTO 1/2"" COMP. Nº 06"</f>
        <v>PIEZA LLAVE DE IMPACTO 1/2" COMP. Nº 06</v>
      </c>
      <c r="B125" s="2">
        <v>6</v>
      </c>
      <c r="C125" s="2">
        <v>4</v>
      </c>
      <c r="D125" s="11" t="str">
        <f t="shared" si="9"/>
        <v>UN</v>
      </c>
      <c r="E125" s="12">
        <v>7.4250000000000007</v>
      </c>
      <c r="F125" s="13">
        <v>0</v>
      </c>
      <c r="G125" s="14" t="s">
        <v>191</v>
      </c>
    </row>
    <row r="126" spans="1:7" x14ac:dyDescent="0.25">
      <c r="A126" s="34" t="str">
        <f>"PIEZA LLAVE DE IMPACTO 1/2"" COMP. Nº 07"</f>
        <v>PIEZA LLAVE DE IMPACTO 1/2" COMP. Nº 07</v>
      </c>
      <c r="B126" s="2">
        <v>6</v>
      </c>
      <c r="C126" s="2">
        <v>5</v>
      </c>
      <c r="D126" s="11" t="str">
        <f t="shared" si="9"/>
        <v>UN</v>
      </c>
      <c r="E126" s="12">
        <v>15.5375</v>
      </c>
      <c r="F126" s="13">
        <v>0</v>
      </c>
      <c r="G126" s="14" t="s">
        <v>191</v>
      </c>
    </row>
    <row r="127" spans="1:7" x14ac:dyDescent="0.25">
      <c r="A127" s="34" t="str">
        <f>"PIEZA LLAVE DE IMPACTO 1/2"" COMP. Nº 08"</f>
        <v>PIEZA LLAVE DE IMPACTO 1/2" COMP. Nº 08</v>
      </c>
      <c r="B127" s="2">
        <v>6</v>
      </c>
      <c r="C127" s="2">
        <v>4</v>
      </c>
      <c r="D127" s="11" t="str">
        <f t="shared" si="9"/>
        <v>UN</v>
      </c>
      <c r="E127" s="12">
        <v>38.5</v>
      </c>
      <c r="F127" s="13">
        <v>0</v>
      </c>
      <c r="G127" s="14" t="s">
        <v>191</v>
      </c>
    </row>
    <row r="128" spans="1:7" x14ac:dyDescent="0.25">
      <c r="A128" s="34" t="str">
        <f>"PIEZA LLAVE DE IMPACTO 1/2"" COMP. Nº 09"</f>
        <v>PIEZA LLAVE DE IMPACTO 1/2" COMP. Nº 09</v>
      </c>
      <c r="B128" s="2">
        <v>6</v>
      </c>
      <c r="C128" s="2">
        <v>4</v>
      </c>
      <c r="D128" s="11" t="str">
        <f t="shared" si="9"/>
        <v>UN</v>
      </c>
      <c r="E128" s="12">
        <v>7.4250000000000016</v>
      </c>
      <c r="F128" s="13">
        <v>0</v>
      </c>
      <c r="G128" s="14" t="s">
        <v>191</v>
      </c>
    </row>
    <row r="129" spans="1:7" x14ac:dyDescent="0.25">
      <c r="A129" s="34" t="str">
        <f>"PIEZA LLAVE DE IMPACTO 1/2"" COMP. Nº 11"</f>
        <v>PIEZA LLAVE DE IMPACTO 1/2" COMP. Nº 11</v>
      </c>
      <c r="B129" s="2">
        <v>6</v>
      </c>
      <c r="C129" s="2">
        <v>10</v>
      </c>
      <c r="D129" s="11" t="str">
        <f t="shared" si="9"/>
        <v>UN</v>
      </c>
      <c r="E129" s="12">
        <v>18.5625</v>
      </c>
      <c r="F129" s="13">
        <v>0</v>
      </c>
      <c r="G129" s="14" t="s">
        <v>191</v>
      </c>
    </row>
    <row r="130" spans="1:7" x14ac:dyDescent="0.25">
      <c r="A130" s="34" t="str">
        <f>"PIEZA LLAVE DE IMPACTO 1/2"" COMP. Nº 15"</f>
        <v>PIEZA LLAVE DE IMPACTO 1/2" COMP. Nº 15</v>
      </c>
      <c r="B130" s="2">
        <v>6</v>
      </c>
      <c r="C130" s="2">
        <v>10</v>
      </c>
      <c r="D130" s="11" t="str">
        <f t="shared" si="9"/>
        <v>UN</v>
      </c>
      <c r="E130" s="12">
        <v>18.5625</v>
      </c>
      <c r="F130" s="13">
        <v>0</v>
      </c>
      <c r="G130" s="14" t="s">
        <v>191</v>
      </c>
    </row>
    <row r="131" spans="1:7" x14ac:dyDescent="0.25">
      <c r="A131" s="34" t="str">
        <f>"PIEZA LLAVE DE IMPACTO 1/2"" COMP. Nº 16"</f>
        <v>PIEZA LLAVE DE IMPACTO 1/2" COMP. Nº 16</v>
      </c>
      <c r="B131" s="2">
        <v>6</v>
      </c>
      <c r="C131" s="2">
        <v>10</v>
      </c>
      <c r="D131" s="11" t="str">
        <f t="shared" si="9"/>
        <v>UN</v>
      </c>
      <c r="E131" s="12">
        <v>18.5625</v>
      </c>
      <c r="F131" s="13">
        <v>0</v>
      </c>
      <c r="G131" s="14" t="s">
        <v>191</v>
      </c>
    </row>
    <row r="132" spans="1:7" x14ac:dyDescent="0.25">
      <c r="A132" s="34" t="str">
        <f>"PIEZA LLAVE DE IMPACTO 1/2"" COMP. Nº 17"</f>
        <v>PIEZA LLAVE DE IMPACTO 1/2" COMP. Nº 17</v>
      </c>
      <c r="B132" s="2">
        <v>6</v>
      </c>
      <c r="C132" s="2">
        <v>10</v>
      </c>
      <c r="D132" s="11" t="str">
        <f t="shared" si="9"/>
        <v>UN</v>
      </c>
      <c r="E132" s="12">
        <v>18.562500000000004</v>
      </c>
      <c r="F132" s="13">
        <v>0</v>
      </c>
      <c r="G132" s="14" t="s">
        <v>191</v>
      </c>
    </row>
    <row r="133" spans="1:7" x14ac:dyDescent="0.25">
      <c r="A133" s="34" t="str">
        <f>"PIEZA LLAVE DE IMPACTO 1/2"" COMP. Nº 20"</f>
        <v>PIEZA LLAVE DE IMPACTO 1/2" COMP. Nº 20</v>
      </c>
      <c r="B133" s="2">
        <v>6</v>
      </c>
      <c r="C133" s="2">
        <v>39</v>
      </c>
      <c r="D133" s="11" t="str">
        <f t="shared" si="9"/>
        <v>UN</v>
      </c>
      <c r="E133" s="12">
        <v>198.41250000000005</v>
      </c>
      <c r="F133" s="13">
        <v>0</v>
      </c>
      <c r="G133" s="14" t="s">
        <v>191</v>
      </c>
    </row>
    <row r="134" spans="1:7" x14ac:dyDescent="0.25">
      <c r="A134" s="34" t="str">
        <f>"PIEZA LLAVE DE IMPACTO 1/2"" COMP. Nº 22"</f>
        <v>PIEZA LLAVE DE IMPACTO 1/2" COMP. Nº 22</v>
      </c>
      <c r="B134" s="2">
        <v>6</v>
      </c>
      <c r="C134" s="2">
        <v>1</v>
      </c>
      <c r="D134" s="11" t="str">
        <f t="shared" si="9"/>
        <v>UN</v>
      </c>
      <c r="E134" s="12">
        <v>11.61875</v>
      </c>
      <c r="F134" s="13">
        <v>0</v>
      </c>
      <c r="G134" s="14" t="s">
        <v>191</v>
      </c>
    </row>
    <row r="135" spans="1:7" x14ac:dyDescent="0.25">
      <c r="A135" s="34" t="str">
        <f>"PIEZA LLAVE DE IMPACTO 1/2"" COMP. Nº 23"</f>
        <v>PIEZA LLAVE DE IMPACTO 1/2" COMP. Nº 23</v>
      </c>
      <c r="B135" s="2">
        <v>6</v>
      </c>
      <c r="C135" s="2">
        <v>1</v>
      </c>
      <c r="D135" s="11" t="str">
        <f t="shared" si="9"/>
        <v>UN</v>
      </c>
      <c r="E135" s="12">
        <v>19.016249999999999</v>
      </c>
      <c r="F135" s="13">
        <v>0</v>
      </c>
      <c r="G135" s="14" t="s">
        <v>191</v>
      </c>
    </row>
    <row r="136" spans="1:7" x14ac:dyDescent="0.25">
      <c r="A136" s="34" t="str">
        <f>"PIEZA LLAVE DE IMPACTO 1/2"" COMP. Nº 24"</f>
        <v>PIEZA LLAVE DE IMPACTO 1/2" COMP. Nº 24</v>
      </c>
      <c r="B136" s="2">
        <v>6</v>
      </c>
      <c r="C136" s="2">
        <v>1</v>
      </c>
      <c r="D136" s="11" t="str">
        <f t="shared" si="9"/>
        <v>UN</v>
      </c>
      <c r="E136" s="12">
        <v>31.267499999999998</v>
      </c>
      <c r="F136" s="13">
        <v>0</v>
      </c>
      <c r="G136" s="14" t="s">
        <v>191</v>
      </c>
    </row>
    <row r="137" spans="1:7" x14ac:dyDescent="0.25">
      <c r="A137" s="34" t="str">
        <f>"PIEZA LLAVE DE IMPACTO 1/2"" COMP. Nº 27"</f>
        <v>PIEZA LLAVE DE IMPACTO 1/2" COMP. Nº 27</v>
      </c>
      <c r="B137" s="2">
        <v>6</v>
      </c>
      <c r="C137" s="2">
        <v>2</v>
      </c>
      <c r="D137" s="11" t="str">
        <f t="shared" si="9"/>
        <v>UN</v>
      </c>
      <c r="E137" s="12">
        <v>3.7125000000000004</v>
      </c>
      <c r="F137" s="13">
        <v>0</v>
      </c>
      <c r="G137" s="14" t="s">
        <v>191</v>
      </c>
    </row>
    <row r="138" spans="1:7" x14ac:dyDescent="0.25">
      <c r="A138" s="34" t="str">
        <f>"PIEZA LLAVE DE IMPACTO 1/2"" COMP. Nº 28"</f>
        <v>PIEZA LLAVE DE IMPACTO 1/2" COMP. Nº 28</v>
      </c>
      <c r="B138" s="2">
        <v>6</v>
      </c>
      <c r="C138" s="2">
        <v>1</v>
      </c>
      <c r="D138" s="11" t="str">
        <f t="shared" si="9"/>
        <v>UN</v>
      </c>
      <c r="E138" s="12">
        <v>18.122500000000002</v>
      </c>
      <c r="F138" s="13">
        <v>0</v>
      </c>
      <c r="G138" s="14" t="s">
        <v>191</v>
      </c>
    </row>
    <row r="139" spans="1:7" x14ac:dyDescent="0.25">
      <c r="A139" s="34" t="str">
        <f>"PIEZA LLAVE DE IMPACTO 1/2"" COMP. Nº 31"</f>
        <v>PIEZA LLAVE DE IMPACTO 1/2" COMP. Nº 31</v>
      </c>
      <c r="B139" s="2">
        <v>6</v>
      </c>
      <c r="C139" s="2">
        <v>1</v>
      </c>
      <c r="D139" s="11" t="str">
        <f t="shared" si="9"/>
        <v>UN</v>
      </c>
      <c r="E139" s="12">
        <v>33.192500000000003</v>
      </c>
      <c r="F139" s="13">
        <v>0</v>
      </c>
      <c r="G139" s="14" t="s">
        <v>191</v>
      </c>
    </row>
    <row r="140" spans="1:7" x14ac:dyDescent="0.25">
      <c r="A140" s="34" t="str">
        <f>"PIEZA LLAVE DE IMPACTO 1/2"" COMP. Nº 32"</f>
        <v>PIEZA LLAVE DE IMPACTO 1/2" COMP. Nº 32</v>
      </c>
      <c r="B140" s="2">
        <v>6</v>
      </c>
      <c r="C140" s="2">
        <v>2</v>
      </c>
      <c r="D140" s="11" t="str">
        <f t="shared" si="9"/>
        <v>UN</v>
      </c>
      <c r="E140" s="12">
        <v>54.037499999999994</v>
      </c>
      <c r="F140" s="13">
        <v>0</v>
      </c>
      <c r="G140" s="14" t="s">
        <v>191</v>
      </c>
    </row>
    <row r="141" spans="1:7" x14ac:dyDescent="0.25">
      <c r="A141" s="34" t="str">
        <f>"PIEZA LLAVE DE IMPACTO 1/2"" COMP. Nº 33"</f>
        <v>PIEZA LLAVE DE IMPACTO 1/2" COMP. Nº 33</v>
      </c>
      <c r="B141" s="2">
        <v>6</v>
      </c>
      <c r="C141" s="2">
        <v>4</v>
      </c>
      <c r="D141" s="11" t="str">
        <f t="shared" si="9"/>
        <v>UN</v>
      </c>
      <c r="E141" s="12">
        <v>15.179999999999998</v>
      </c>
      <c r="F141" s="13">
        <v>0</v>
      </c>
      <c r="G141" s="14" t="s">
        <v>191</v>
      </c>
    </row>
    <row r="142" spans="1:7" x14ac:dyDescent="0.25">
      <c r="A142" s="34" t="str">
        <f>"PIEZA LLAVE DE IMPACTO 1/2"" COMP. Nº 35"</f>
        <v>PIEZA LLAVE DE IMPACTO 1/2" COMP. Nº 35</v>
      </c>
      <c r="B142" s="2">
        <v>6</v>
      </c>
      <c r="C142" s="2">
        <v>5</v>
      </c>
      <c r="D142" s="11" t="str">
        <f t="shared" si="9"/>
        <v>UN</v>
      </c>
      <c r="E142" s="12">
        <v>9.2812500000000018</v>
      </c>
      <c r="F142" s="13">
        <v>0</v>
      </c>
      <c r="G142" s="14" t="s">
        <v>191</v>
      </c>
    </row>
    <row r="143" spans="1:7" x14ac:dyDescent="0.25">
      <c r="A143" s="34" t="str">
        <f>"PIEZA LLAVE DE IMPACTO 1/2"" COMP. Nº 36"</f>
        <v>PIEZA LLAVE DE IMPACTO 1/2" COMP. Nº 36</v>
      </c>
      <c r="B143" s="2">
        <v>6</v>
      </c>
      <c r="C143" s="2">
        <v>6</v>
      </c>
      <c r="D143" s="11" t="str">
        <f t="shared" si="9"/>
        <v>UN</v>
      </c>
      <c r="E143" s="12">
        <v>14.602499999999999</v>
      </c>
      <c r="F143" s="13">
        <v>0</v>
      </c>
      <c r="G143" s="14" t="s">
        <v>191</v>
      </c>
    </row>
    <row r="144" spans="1:7" x14ac:dyDescent="0.25">
      <c r="A144" s="34" t="str">
        <f>"PIEZA LLAVE DE IMPACTO 1/2"" COMP. Nº 39"</f>
        <v>PIEZA LLAVE DE IMPACTO 1/2" COMP. Nº 39</v>
      </c>
      <c r="B144" s="2">
        <v>6</v>
      </c>
      <c r="C144" s="2">
        <v>10</v>
      </c>
      <c r="D144" s="11" t="str">
        <f t="shared" si="9"/>
        <v>UN</v>
      </c>
      <c r="E144" s="12">
        <v>18.5625</v>
      </c>
      <c r="F144" s="13">
        <v>0</v>
      </c>
      <c r="G144" s="14" t="s">
        <v>191</v>
      </c>
    </row>
    <row r="145" spans="1:7" x14ac:dyDescent="0.25">
      <c r="A145" s="34" t="str">
        <f>"PLACA LEDS LAMPARA 48 LEDS PIEZA Nº.4"</f>
        <v>PLACA LEDS LAMPARA 48 LEDS PIEZA Nº.4</v>
      </c>
      <c r="B145" s="2">
        <v>6</v>
      </c>
      <c r="C145" s="2">
        <v>69</v>
      </c>
      <c r="D145" s="11" t="str">
        <f t="shared" si="9"/>
        <v>UN</v>
      </c>
      <c r="E145" s="12">
        <v>1203.9637499999999</v>
      </c>
      <c r="F145" s="13">
        <v>1203.9637499999999</v>
      </c>
      <c r="G145" s="14"/>
    </row>
    <row r="146" spans="1:7" x14ac:dyDescent="0.25">
      <c r="A146" s="34" t="str">
        <f>"PROSOLDSIM ANTIPROYECCIONES 500 ml"</f>
        <v>PROSOLDSIM ANTIPROYECCIONES 500 ml</v>
      </c>
      <c r="B146" s="2">
        <v>6</v>
      </c>
      <c r="C146" s="2">
        <v>1493</v>
      </c>
      <c r="D146" s="11" t="str">
        <f t="shared" si="9"/>
        <v>UN</v>
      </c>
      <c r="E146" s="12">
        <v>8211.5</v>
      </c>
      <c r="F146" s="13">
        <v>8211.5</v>
      </c>
      <c r="G146" s="14"/>
    </row>
    <row r="147" spans="1:7" x14ac:dyDescent="0.25">
      <c r="A147" s="34" t="str">
        <f>"PROTECTOR DOBLE CAPA 50 CM"</f>
        <v>PROTECTOR DOBLE CAPA 50 CM</v>
      </c>
      <c r="B147" s="2">
        <v>6</v>
      </c>
      <c r="C147" s="2">
        <v>0.04</v>
      </c>
      <c r="D147" s="11" t="str">
        <f>"MILL"</f>
        <v>MILL</v>
      </c>
      <c r="E147" s="12">
        <v>48.558399999999999</v>
      </c>
      <c r="F147" s="13">
        <v>48.558399999999999</v>
      </c>
      <c r="G147" s="14"/>
    </row>
    <row r="148" spans="1:7" x14ac:dyDescent="0.25">
      <c r="A148" s="34" t="str">
        <f>"PROTECTOR PLEGADO DC 60 CM -SIN MP"</f>
        <v>PROTECTOR PLEGADO DC 60 CM -SIN MP</v>
      </c>
      <c r="B148" s="2">
        <v>6</v>
      </c>
      <c r="C148" s="2">
        <v>0.2</v>
      </c>
      <c r="D148" s="11" t="str">
        <f>"MILL"</f>
        <v>MILL</v>
      </c>
      <c r="E148" s="12">
        <v>236.55747999758765</v>
      </c>
      <c r="F148" s="13">
        <v>236.55747999758765</v>
      </c>
      <c r="G148" s="14"/>
    </row>
    <row r="149" spans="1:7" x14ac:dyDescent="0.25">
      <c r="A149" s="34" t="str">
        <f>"RAMPA ALU. PLEGABLE 350KG (2 un) HFDEXT"</f>
        <v>RAMPA ALU. PLEGABLE 350KG (2 un) HFDEXT</v>
      </c>
      <c r="B149" s="2">
        <v>6</v>
      </c>
      <c r="C149" s="2">
        <v>10</v>
      </c>
      <c r="D149" s="11" t="str">
        <f>"UN"</f>
        <v>UN</v>
      </c>
      <c r="E149" s="12">
        <v>4330.1500000000005</v>
      </c>
      <c r="F149" s="13">
        <v>4330.1500000000005</v>
      </c>
      <c r="G149" s="14"/>
    </row>
    <row r="150" spans="1:7" x14ac:dyDescent="0.25">
      <c r="A150" s="34" t="str">
        <f>"REFLECTOR LAMPARA 48 LEDS PIEZA Nº.3"</f>
        <v>REFLECTOR LAMPARA 48 LEDS PIEZA Nº.3</v>
      </c>
      <c r="B150" s="2">
        <v>6</v>
      </c>
      <c r="C150" s="2">
        <v>20</v>
      </c>
      <c r="D150" s="11" t="str">
        <f>"UN"</f>
        <v>UN</v>
      </c>
      <c r="E150" s="12">
        <v>37.125000000000007</v>
      </c>
      <c r="F150" s="13">
        <v>37.125000000000007</v>
      </c>
      <c r="G150" s="14"/>
    </row>
    <row r="151" spans="1:7" x14ac:dyDescent="0.25">
      <c r="A151" s="34" t="str">
        <f>"RETEN BOMBA PULVERIZADOR Nº29"</f>
        <v>RETEN BOMBA PULVERIZADOR Nº29</v>
      </c>
      <c r="B151" s="2">
        <v>6</v>
      </c>
      <c r="C151" s="2">
        <v>210</v>
      </c>
      <c r="D151" s="11" t="str">
        <f>"UN"</f>
        <v>UN</v>
      </c>
      <c r="E151" s="12">
        <v>892.23750000000007</v>
      </c>
      <c r="F151" s="13">
        <v>892.23750000000007</v>
      </c>
      <c r="G151" s="14"/>
    </row>
    <row r="152" spans="1:7" x14ac:dyDescent="0.25">
      <c r="A152" s="34" t="str">
        <f>"RUBBER TIES 100mm x 10mm Amarilla"</f>
        <v>RUBBER TIES 100mm x 10mm Amarilla</v>
      </c>
      <c r="B152" s="2">
        <v>6</v>
      </c>
      <c r="C152" s="2">
        <v>100</v>
      </c>
      <c r="D152" s="11" t="str">
        <f>"KG"</f>
        <v>KG</v>
      </c>
      <c r="E152" s="12">
        <v>1529</v>
      </c>
      <c r="F152" s="13">
        <v>1529</v>
      </c>
      <c r="G152" s="14"/>
    </row>
    <row r="153" spans="1:7" x14ac:dyDescent="0.25">
      <c r="A153" s="34" t="str">
        <f>"RUBBER TIES 100mm x 5mm Naranja"</f>
        <v>RUBBER TIES 100mm x 5mm Naranja</v>
      </c>
      <c r="B153" s="2">
        <v>6</v>
      </c>
      <c r="C153" s="2">
        <v>460</v>
      </c>
      <c r="D153" s="11" t="str">
        <f>"KG"</f>
        <v>KG</v>
      </c>
      <c r="E153" s="12">
        <v>7033.4</v>
      </c>
      <c r="F153" s="13">
        <v>7033.4</v>
      </c>
      <c r="G153" s="14"/>
    </row>
    <row r="154" spans="1:7" x14ac:dyDescent="0.25">
      <c r="A154" s="34" t="str">
        <f>"RUBBER TIES 100mm x 5mm Verde"</f>
        <v>RUBBER TIES 100mm x 5mm Verde</v>
      </c>
      <c r="B154" s="2">
        <v>6</v>
      </c>
      <c r="C154" s="2">
        <v>220</v>
      </c>
      <c r="D154" s="11" t="str">
        <f>"KG"</f>
        <v>KG</v>
      </c>
      <c r="E154" s="12">
        <v>3486.2903225806454</v>
      </c>
      <c r="F154" s="13">
        <v>3486.2903225806454</v>
      </c>
      <c r="G154" s="14"/>
    </row>
    <row r="155" spans="1:7" x14ac:dyDescent="0.25">
      <c r="A155" s="34" t="str">
        <f>"RUBBER TIES 160mm x 10mm Amarilla"</f>
        <v>RUBBER TIES 160mm x 10mm Amarilla</v>
      </c>
      <c r="B155" s="2">
        <v>6</v>
      </c>
      <c r="C155" s="2">
        <v>140</v>
      </c>
      <c r="D155" s="11" t="str">
        <f>"KG"</f>
        <v>KG</v>
      </c>
      <c r="E155" s="12">
        <v>2140.6</v>
      </c>
      <c r="F155" s="13">
        <v>2140.6</v>
      </c>
      <c r="G155" s="14"/>
    </row>
    <row r="156" spans="1:7" x14ac:dyDescent="0.25">
      <c r="A156" s="34" t="str">
        <f>"RUBBER TIES 50mm x 5mm Negra"</f>
        <v>RUBBER TIES 50mm x 5mm Negra</v>
      </c>
      <c r="B156" s="2">
        <v>6</v>
      </c>
      <c r="C156" s="2">
        <v>200</v>
      </c>
      <c r="D156" s="11" t="str">
        <f>"KG"</f>
        <v>KG</v>
      </c>
      <c r="E156" s="12">
        <v>3058</v>
      </c>
      <c r="F156" s="13">
        <v>3058</v>
      </c>
      <c r="G156" s="14"/>
    </row>
    <row r="157" spans="1:7" x14ac:dyDescent="0.25">
      <c r="A157" s="34" t="str">
        <f>"SOPORTE RACIMO"</f>
        <v>SOPORTE RACIMO</v>
      </c>
      <c r="B157" s="2">
        <v>6</v>
      </c>
      <c r="C157" s="2">
        <v>60</v>
      </c>
      <c r="D157" s="11" t="str">
        <f>"MILL"</f>
        <v>MILL</v>
      </c>
      <c r="E157" s="12">
        <v>626.46809312847597</v>
      </c>
      <c r="F157" s="13">
        <v>626.46809312847597</v>
      </c>
      <c r="G157" s="14"/>
    </row>
    <row r="158" spans="1:7" x14ac:dyDescent="0.25">
      <c r="A158" s="34" t="str">
        <f>"TACHUELA B-6 ANILLADA NIQUELADA"</f>
        <v>TACHUELA B-6 ANILLADA NIQUELADA</v>
      </c>
      <c r="B158" s="2">
        <v>6</v>
      </c>
      <c r="C158" s="2">
        <v>36</v>
      </c>
      <c r="D158" s="11" t="str">
        <f>"MILL"</f>
        <v>MILL</v>
      </c>
      <c r="E158" s="12">
        <v>1271.655</v>
      </c>
      <c r="F158" s="13">
        <v>1271.655</v>
      </c>
      <c r="G158" s="14"/>
    </row>
    <row r="159" spans="1:7" x14ac:dyDescent="0.25">
      <c r="A159" s="34" t="str">
        <f>"TAPA CARRO SIMES"</f>
        <v>TAPA CARRO SIMES</v>
      </c>
      <c r="B159" s="2">
        <v>6</v>
      </c>
      <c r="C159" s="2">
        <v>2</v>
      </c>
      <c r="D159" s="11" t="str">
        <f t="shared" ref="D159:D166" si="10">"UN"</f>
        <v>UN</v>
      </c>
      <c r="E159" s="12">
        <v>0</v>
      </c>
      <c r="F159" s="13">
        <v>0</v>
      </c>
      <c r="G159" s="14" t="s">
        <v>196</v>
      </c>
    </row>
    <row r="160" spans="1:7" x14ac:dyDescent="0.25">
      <c r="A160" s="34" t="str">
        <f>"TAPA DEPOSITO PULVERIZADOR Nº38"</f>
        <v>TAPA DEPOSITO PULVERIZADOR Nº38</v>
      </c>
      <c r="B160" s="2">
        <v>6</v>
      </c>
      <c r="C160" s="2">
        <v>11</v>
      </c>
      <c r="D160" s="11" t="str">
        <f t="shared" si="10"/>
        <v>UN</v>
      </c>
      <c r="E160" s="12">
        <v>87.271250000000009</v>
      </c>
      <c r="F160" s="13">
        <v>87.271250000000009</v>
      </c>
      <c r="G160" s="14"/>
    </row>
    <row r="161" spans="1:7" x14ac:dyDescent="0.25">
      <c r="A161" s="34" t="str">
        <f>"TAPA GANCHO LAMPARA 48 LEDS PIEZA Nº.9"</f>
        <v>TAPA GANCHO LAMPARA 48 LEDS PIEZA Nº.9</v>
      </c>
      <c r="B161" s="2">
        <v>6</v>
      </c>
      <c r="C161" s="2">
        <v>20</v>
      </c>
      <c r="D161" s="11" t="str">
        <f t="shared" si="10"/>
        <v>UN</v>
      </c>
      <c r="E161" s="12">
        <v>0</v>
      </c>
      <c r="F161" s="13">
        <v>0</v>
      </c>
      <c r="G161" s="14" t="s">
        <v>196</v>
      </c>
    </row>
    <row r="162" spans="1:7" x14ac:dyDescent="0.25">
      <c r="A162" s="34" t="str">
        <f>"TAPA PRESION PULVERIZADOR Nº36"</f>
        <v>TAPA PRESION PULVERIZADOR Nº36</v>
      </c>
      <c r="B162" s="2">
        <v>6</v>
      </c>
      <c r="C162" s="2">
        <v>16</v>
      </c>
      <c r="D162" s="11" t="str">
        <f t="shared" si="10"/>
        <v>UN</v>
      </c>
      <c r="E162" s="12">
        <v>0</v>
      </c>
      <c r="F162" s="13">
        <v>0</v>
      </c>
      <c r="G162" s="14" t="s">
        <v>196</v>
      </c>
    </row>
    <row r="163" spans="1:7" x14ac:dyDescent="0.25">
      <c r="A163" s="34" t="str">
        <f>"TENSOR CARRACA 60g GALVANIZADO"</f>
        <v>TENSOR CARRACA 60g GALVANIZADO</v>
      </c>
      <c r="B163" s="2">
        <v>6</v>
      </c>
      <c r="C163" s="2">
        <v>91500</v>
      </c>
      <c r="D163" s="11" t="str">
        <f t="shared" si="10"/>
        <v>UN</v>
      </c>
      <c r="E163" s="12">
        <v>60390</v>
      </c>
      <c r="F163" s="13">
        <v>60390</v>
      </c>
      <c r="G163" s="14"/>
    </row>
    <row r="164" spans="1:7" x14ac:dyDescent="0.25">
      <c r="A164" s="34" t="str">
        <f>"TENSOR CARRACA 60g VERDE"</f>
        <v>TENSOR CARRACA 60g VERDE</v>
      </c>
      <c r="B164" s="2">
        <v>6</v>
      </c>
      <c r="C164" s="2">
        <v>8800</v>
      </c>
      <c r="D164" s="11" t="str">
        <f t="shared" si="10"/>
        <v>UN</v>
      </c>
      <c r="E164" s="12">
        <v>8348.9999999999982</v>
      </c>
      <c r="F164" s="13">
        <v>8348.9999999999982</v>
      </c>
      <c r="G164" s="14"/>
    </row>
    <row r="165" spans="1:7" x14ac:dyDescent="0.25">
      <c r="A165" s="34" t="str">
        <f>"TENSOR CARRACA 80g GALVANIZADO"</f>
        <v>TENSOR CARRACA 80g GALVANIZADO</v>
      </c>
      <c r="B165" s="2">
        <v>6</v>
      </c>
      <c r="C165" s="2">
        <v>18700</v>
      </c>
      <c r="D165" s="11" t="str">
        <f t="shared" si="10"/>
        <v>UN</v>
      </c>
      <c r="E165" s="12">
        <v>14913.25</v>
      </c>
      <c r="F165" s="13">
        <v>14913.25</v>
      </c>
      <c r="G165" s="14"/>
    </row>
    <row r="166" spans="1:7" x14ac:dyDescent="0.25">
      <c r="A166" s="34" t="str">
        <f>"TENSOR CARRACA 80g GALVANIZADO (NAC)"</f>
        <v>TENSOR CARRACA 80g GALVANIZADO (NAC)</v>
      </c>
      <c r="B166" s="2">
        <v>6</v>
      </c>
      <c r="C166" s="2">
        <v>450</v>
      </c>
      <c r="D166" s="11" t="str">
        <f t="shared" si="10"/>
        <v>UN</v>
      </c>
      <c r="E166" s="12">
        <v>371.25000000000006</v>
      </c>
      <c r="F166" s="13">
        <v>371.25000000000006</v>
      </c>
      <c r="G166" s="14"/>
    </row>
    <row r="167" spans="1:7" x14ac:dyDescent="0.25">
      <c r="A167" s="34" t="str">
        <f>"TORN . FWS 3,5X40 TORX BICROMATADO"</f>
        <v>TORN . FWS 3,5X40 TORX BICROMATADO</v>
      </c>
      <c r="B167" s="2">
        <v>6</v>
      </c>
      <c r="C167" s="2">
        <v>5</v>
      </c>
      <c r="D167" s="11" t="str">
        <f t="shared" ref="D167:D198" si="11">"MILL"</f>
        <v>MILL</v>
      </c>
      <c r="E167" s="12">
        <v>65.59791057059256</v>
      </c>
      <c r="F167" s="13">
        <v>65.59791057059256</v>
      </c>
      <c r="G167" s="14"/>
    </row>
    <row r="168" spans="1:7" x14ac:dyDescent="0.25">
      <c r="A168" s="34" t="str">
        <f>"TORN . FWS 3,5X45 POZI BICROMATADO"</f>
        <v>TORN . FWS 3,5X45 POZI BICROMATADO</v>
      </c>
      <c r="B168" s="2">
        <v>6</v>
      </c>
      <c r="C168" s="2">
        <v>12</v>
      </c>
      <c r="D168" s="11" t="str">
        <f t="shared" si="11"/>
        <v>MILL</v>
      </c>
      <c r="E168" s="12">
        <v>178.29080675422142</v>
      </c>
      <c r="F168" s="13">
        <v>178.29080675422142</v>
      </c>
      <c r="G168" s="14"/>
    </row>
    <row r="169" spans="1:7" x14ac:dyDescent="0.25">
      <c r="A169" s="34" t="str">
        <f>"TORN . FWS 4,0X35 POZI BICROMATADO"</f>
        <v>TORN . FWS 4,0X35 POZI BICROMATADO</v>
      </c>
      <c r="B169" s="2">
        <v>6</v>
      </c>
      <c r="C169" s="2">
        <v>4</v>
      </c>
      <c r="D169" s="11" t="str">
        <f t="shared" si="11"/>
        <v>MILL</v>
      </c>
      <c r="E169" s="12">
        <v>63.67307692307692</v>
      </c>
      <c r="F169" s="13">
        <v>63.67307692307692</v>
      </c>
      <c r="G169" s="14"/>
    </row>
    <row r="170" spans="1:7" x14ac:dyDescent="0.25">
      <c r="A170" s="34" t="str">
        <f>"TORN . FWS 4,0X35 TORX BICROMATADO"</f>
        <v>TORN . FWS 4,0X35 TORX BICROMATADO</v>
      </c>
      <c r="B170" s="2">
        <v>6</v>
      </c>
      <c r="C170" s="2">
        <v>28</v>
      </c>
      <c r="D170" s="11" t="str">
        <f t="shared" si="11"/>
        <v>MILL</v>
      </c>
      <c r="E170" s="12">
        <v>489.23532242540898</v>
      </c>
      <c r="F170" s="13">
        <v>489.23532242540898</v>
      </c>
      <c r="G170" s="14"/>
    </row>
    <row r="171" spans="1:7" x14ac:dyDescent="0.25">
      <c r="A171" s="34" t="str">
        <f>"TORN . FWS 4,0X40 TORX BICROMATADO"</f>
        <v>TORN . FWS 4,0X40 TORX BICROMATADO</v>
      </c>
      <c r="B171" s="2">
        <v>6</v>
      </c>
      <c r="C171" s="2">
        <v>24</v>
      </c>
      <c r="D171" s="11" t="str">
        <f t="shared" si="11"/>
        <v>MILL</v>
      </c>
      <c r="E171" s="12">
        <v>464.36621751684322</v>
      </c>
      <c r="F171" s="13">
        <v>464.36621751684322</v>
      </c>
      <c r="G171" s="14"/>
    </row>
    <row r="172" spans="1:7" x14ac:dyDescent="0.25">
      <c r="A172" s="34" t="str">
        <f>"TORN . FWS 4X16 POZI BICROMATADO"</f>
        <v>TORN . FWS 4X16 POZI BICROMATADO</v>
      </c>
      <c r="B172" s="2">
        <v>6</v>
      </c>
      <c r="C172" s="2">
        <v>32</v>
      </c>
      <c r="D172" s="11" t="str">
        <f t="shared" si="11"/>
        <v>MILL</v>
      </c>
      <c r="E172" s="12">
        <v>267.16901243633163</v>
      </c>
      <c r="F172" s="13">
        <v>267.16901243633163</v>
      </c>
      <c r="G172" s="14"/>
    </row>
    <row r="173" spans="1:7" x14ac:dyDescent="0.25">
      <c r="A173" s="34" t="str">
        <f>"TORN. 2,5X10 POZI CAB. PLANA BICRO"</f>
        <v>TORN. 2,5X10 POZI CAB. PLANA BICRO</v>
      </c>
      <c r="B173" s="2">
        <v>6</v>
      </c>
      <c r="C173" s="2">
        <v>129</v>
      </c>
      <c r="D173" s="11" t="str">
        <f t="shared" si="11"/>
        <v>MILL</v>
      </c>
      <c r="E173" s="12">
        <v>576.46875000000011</v>
      </c>
      <c r="F173" s="13">
        <v>576.46875000000011</v>
      </c>
      <c r="G173" s="14"/>
    </row>
    <row r="174" spans="1:7" x14ac:dyDescent="0.25">
      <c r="A174" s="34" t="str">
        <f>"TORN. 2,5X12 POZI CAB. PLANA BICRO"</f>
        <v>TORN. 2,5X12 POZI CAB. PLANA BICRO</v>
      </c>
      <c r="B174" s="2">
        <v>6</v>
      </c>
      <c r="C174" s="2">
        <v>145</v>
      </c>
      <c r="D174" s="11" t="str">
        <f t="shared" si="11"/>
        <v>MILL</v>
      </c>
      <c r="E174" s="12">
        <v>683.85625000000016</v>
      </c>
      <c r="F174" s="13">
        <v>683.85625000000016</v>
      </c>
      <c r="G174" s="14"/>
    </row>
    <row r="175" spans="1:7" x14ac:dyDescent="0.25">
      <c r="A175" s="34" t="str">
        <f>"TORN. 2,5X12 POZI CINC.CAB PLANA"</f>
        <v>TORN. 2,5X12 POZI CINC.CAB PLANA</v>
      </c>
      <c r="B175" s="2">
        <v>6</v>
      </c>
      <c r="C175" s="2">
        <v>39</v>
      </c>
      <c r="D175" s="11" t="str">
        <f t="shared" si="11"/>
        <v>MILL</v>
      </c>
      <c r="E175" s="12">
        <v>183.93375000000006</v>
      </c>
      <c r="F175" s="13">
        <v>183.93375000000006</v>
      </c>
      <c r="G175" s="14"/>
    </row>
    <row r="176" spans="1:7" x14ac:dyDescent="0.25">
      <c r="A176" s="34" t="str">
        <f>"TORN. 3,5X12 TX TOR CAB. PLANA BICRO"</f>
        <v>TORN. 3,5X12 TX TOR CAB. PLANA BICRO</v>
      </c>
      <c r="B176" s="2">
        <v>6</v>
      </c>
      <c r="C176" s="2">
        <v>90</v>
      </c>
      <c r="D176" s="11" t="str">
        <f t="shared" si="11"/>
        <v>MILL</v>
      </c>
      <c r="E176" s="12">
        <v>519.75</v>
      </c>
      <c r="F176" s="13">
        <v>519.75</v>
      </c>
      <c r="G176" s="14"/>
    </row>
    <row r="177" spans="1:7" x14ac:dyDescent="0.25">
      <c r="A177" s="34" t="str">
        <f>"TORN. 3,5X14 POZI CAB. PLANA BICRO"</f>
        <v>TORN. 3,5X14 POZI CAB. PLANA BICRO</v>
      </c>
      <c r="B177" s="2">
        <v>6</v>
      </c>
      <c r="C177" s="2">
        <v>167.5</v>
      </c>
      <c r="D177" s="11" t="str">
        <f t="shared" si="11"/>
        <v>MILL</v>
      </c>
      <c r="E177" s="12">
        <v>953.18111207753736</v>
      </c>
      <c r="F177" s="13">
        <v>953.18111207753736</v>
      </c>
      <c r="G177" s="14"/>
    </row>
    <row r="178" spans="1:7" x14ac:dyDescent="0.25">
      <c r="A178" s="34" t="str">
        <f>"TORN. 3,5X20 CINC NEGRO POZI PLANA"</f>
        <v>TORN. 3,5X20 CINC NEGRO POZI PLANA</v>
      </c>
      <c r="B178" s="2">
        <v>6</v>
      </c>
      <c r="C178" s="2">
        <v>54.4</v>
      </c>
      <c r="D178" s="11" t="str">
        <f t="shared" si="11"/>
        <v>MILL</v>
      </c>
      <c r="E178" s="12">
        <v>520.65290806754228</v>
      </c>
      <c r="F178" s="13">
        <v>520.65290806754228</v>
      </c>
      <c r="G178" s="14"/>
    </row>
    <row r="179" spans="1:7" x14ac:dyDescent="0.25">
      <c r="A179" s="34" t="str">
        <f>"TORN. 3,5X25 TX TOR CAB. PLANA BICRO"</f>
        <v>TORN. 3,5X25 TX TOR CAB. PLANA BICRO</v>
      </c>
      <c r="B179" s="2">
        <v>6</v>
      </c>
      <c r="C179" s="2">
        <v>78</v>
      </c>
      <c r="D179" s="11" t="str">
        <f t="shared" si="11"/>
        <v>MILL</v>
      </c>
      <c r="E179" s="12">
        <v>785.07000000000016</v>
      </c>
      <c r="F179" s="13">
        <v>785.07000000000016</v>
      </c>
      <c r="G179" s="14"/>
    </row>
    <row r="180" spans="1:7" x14ac:dyDescent="0.25">
      <c r="A180" s="34" t="str">
        <f>"TORN. 3,5X45 POZI CAB. PLANA BICRO"</f>
        <v>TORN. 3,5X45 POZI CAB. PLANA BICRO</v>
      </c>
      <c r="B180" s="2">
        <v>6</v>
      </c>
      <c r="C180" s="2">
        <v>5</v>
      </c>
      <c r="D180" s="11" t="str">
        <f t="shared" si="11"/>
        <v>MILL</v>
      </c>
      <c r="E180" s="12">
        <v>68.543750000000003</v>
      </c>
      <c r="F180" s="13">
        <v>68.543750000000003</v>
      </c>
      <c r="G180" s="14"/>
    </row>
    <row r="181" spans="1:7" x14ac:dyDescent="0.25">
      <c r="A181" s="34" t="str">
        <f>"TORN. 3,5X45 TX TOR CAB. PLANA BICRO"</f>
        <v>TORN. 3,5X45 TX TOR CAB. PLANA BICRO</v>
      </c>
      <c r="B181" s="2">
        <v>6</v>
      </c>
      <c r="C181" s="2">
        <v>32</v>
      </c>
      <c r="D181" s="11" t="str">
        <f t="shared" si="11"/>
        <v>MILL</v>
      </c>
      <c r="E181" s="12">
        <v>460.68000000000006</v>
      </c>
      <c r="F181" s="13">
        <v>460.68000000000006</v>
      </c>
      <c r="G181" s="14"/>
    </row>
    <row r="182" spans="1:7" x14ac:dyDescent="0.25">
      <c r="A182" s="34" t="str">
        <f>"TORN. 3,5X50 TX TOR CAB. PLANA BICRO"</f>
        <v>TORN. 3,5X50 TX TOR CAB. PLANA BICRO</v>
      </c>
      <c r="B182" s="2">
        <v>6</v>
      </c>
      <c r="C182" s="2">
        <v>2</v>
      </c>
      <c r="D182" s="11" t="str">
        <f t="shared" si="11"/>
        <v>MILL</v>
      </c>
      <c r="E182" s="12">
        <v>32.065000000000005</v>
      </c>
      <c r="F182" s="13">
        <v>32.065000000000005</v>
      </c>
      <c r="G182" s="14"/>
    </row>
    <row r="183" spans="1:7" x14ac:dyDescent="0.25">
      <c r="A183" s="34" t="str">
        <f>"TORN. 3X16 POZI CAB. PLANA BICRO"</f>
        <v>TORN. 3X16 POZI CAB. PLANA BICRO</v>
      </c>
      <c r="B183" s="2">
        <v>6</v>
      </c>
      <c r="C183" s="2">
        <v>78</v>
      </c>
      <c r="D183" s="11" t="str">
        <f t="shared" si="11"/>
        <v>MILL</v>
      </c>
      <c r="E183" s="12">
        <v>463.32000000000011</v>
      </c>
      <c r="F183" s="13">
        <v>463.32000000000011</v>
      </c>
      <c r="G183" s="14"/>
    </row>
    <row r="184" spans="1:7" x14ac:dyDescent="0.25">
      <c r="A184" s="34" t="str">
        <f>"TORN. 3X25 TX TOR CAB. PLANA BICRO"</f>
        <v>TORN. 3X25 TX TOR CAB. PLANA BICRO</v>
      </c>
      <c r="B184" s="2">
        <v>6</v>
      </c>
      <c r="C184" s="2">
        <v>32</v>
      </c>
      <c r="D184" s="11" t="str">
        <f t="shared" si="11"/>
        <v>MILL</v>
      </c>
      <c r="E184" s="12">
        <v>256.52000000000004</v>
      </c>
      <c r="F184" s="13">
        <v>256.52000000000004</v>
      </c>
      <c r="G184" s="14"/>
    </row>
    <row r="185" spans="1:7" x14ac:dyDescent="0.25">
      <c r="A185" s="34" t="str">
        <f>"TORN. 4,5X16 POZI CAB. PLANA BICRO"</f>
        <v>TORN. 4,5X16 POZI CAB. PLANA BICRO</v>
      </c>
      <c r="B185" s="2">
        <v>6</v>
      </c>
      <c r="C185" s="2">
        <v>20</v>
      </c>
      <c r="D185" s="11" t="str">
        <f t="shared" si="11"/>
        <v>MILL</v>
      </c>
      <c r="E185" s="12">
        <v>190.57499999999999</v>
      </c>
      <c r="F185" s="13">
        <v>190.57499999999999</v>
      </c>
      <c r="G185" s="14"/>
    </row>
    <row r="186" spans="1:7" x14ac:dyDescent="0.25">
      <c r="A186" s="34" t="str">
        <f>"TORN. 4.5X60 POZI CAB. PLANA  BICRO"</f>
        <v>TORN. 4.5X60 POZI CAB. PLANA  BICRO</v>
      </c>
      <c r="B186" s="2">
        <v>6</v>
      </c>
      <c r="C186" s="2">
        <v>72</v>
      </c>
      <c r="D186" s="11" t="str">
        <f t="shared" si="11"/>
        <v>MILL</v>
      </c>
      <c r="E186" s="12">
        <v>3286.1828297872335</v>
      </c>
      <c r="F186" s="13">
        <v>3286.1828297872335</v>
      </c>
      <c r="G186" s="14"/>
    </row>
    <row r="187" spans="1:7" x14ac:dyDescent="0.25">
      <c r="A187" s="34" t="str">
        <f>"TORN. 40X50 POZI CAB. PLANA  BICRO"</f>
        <v>TORN. 40X50 POZI CAB. PLANA  BICRO</v>
      </c>
      <c r="B187" s="2">
        <v>6</v>
      </c>
      <c r="C187" s="2">
        <v>128</v>
      </c>
      <c r="D187" s="11" t="str">
        <f t="shared" si="11"/>
        <v>MILL</v>
      </c>
      <c r="E187" s="12">
        <v>4137.4470891755482</v>
      </c>
      <c r="F187" s="13">
        <v>4137.4470891755482</v>
      </c>
      <c r="G187" s="14"/>
    </row>
    <row r="188" spans="1:7" x14ac:dyDescent="0.25">
      <c r="A188" s="34" t="str">
        <f>"TORN. 4X12 POZI CAB. PLANA BICRO"</f>
        <v>TORN. 4X12 POZI CAB. PLANA BICRO</v>
      </c>
      <c r="B188" s="2">
        <v>6</v>
      </c>
      <c r="C188" s="2">
        <v>21</v>
      </c>
      <c r="D188" s="11" t="str">
        <f t="shared" si="11"/>
        <v>MILL</v>
      </c>
      <c r="E188" s="12">
        <v>130.80375000000004</v>
      </c>
      <c r="F188" s="13">
        <v>130.80375000000004</v>
      </c>
      <c r="G188" s="14"/>
    </row>
    <row r="189" spans="1:7" x14ac:dyDescent="0.25">
      <c r="A189" s="34" t="str">
        <f>"TORN. 4X30 ENCINTADO POZI"</f>
        <v>TORN. 4X30 ENCINTADO POZI</v>
      </c>
      <c r="B189" s="2">
        <v>6</v>
      </c>
      <c r="C189" s="2">
        <v>59</v>
      </c>
      <c r="D189" s="11" t="str">
        <f t="shared" si="11"/>
        <v>MILL</v>
      </c>
      <c r="E189" s="12">
        <v>1323.3731382978722</v>
      </c>
      <c r="F189" s="13">
        <v>1323.3731382978722</v>
      </c>
      <c r="G189" s="14"/>
    </row>
    <row r="190" spans="1:7" x14ac:dyDescent="0.25">
      <c r="A190" s="34" t="str">
        <f>"TORN. 4X60 CINC POZI CAB. PLANA"</f>
        <v>TORN. 4X60 CINC POZI CAB. PLANA</v>
      </c>
      <c r="B190" s="2">
        <v>6</v>
      </c>
      <c r="C190" s="2">
        <v>38.5</v>
      </c>
      <c r="D190" s="11" t="str">
        <f t="shared" si="11"/>
        <v>MILL</v>
      </c>
      <c r="E190" s="12">
        <v>994.16625000000022</v>
      </c>
      <c r="F190" s="13">
        <v>994.16625000000022</v>
      </c>
      <c r="G190" s="14"/>
    </row>
    <row r="191" spans="1:7" x14ac:dyDescent="0.25">
      <c r="A191" s="34" t="str">
        <f>"TORN. 5X25 INOX POZI CAB PLANA"</f>
        <v>TORN. 5X25 INOX POZI CAB PLANA</v>
      </c>
      <c r="B191" s="2">
        <v>6</v>
      </c>
      <c r="C191" s="2">
        <v>5</v>
      </c>
      <c r="D191" s="11" t="str">
        <f t="shared" si="11"/>
        <v>MILL</v>
      </c>
      <c r="E191" s="12">
        <v>454.34880638417081</v>
      </c>
      <c r="F191" s="13">
        <v>454.34880638417081</v>
      </c>
      <c r="G191" s="14"/>
    </row>
    <row r="192" spans="1:7" x14ac:dyDescent="0.25">
      <c r="A192" s="34" t="str">
        <f>"TORN. 5X25 POZI CAB. PLANA BICRO"</f>
        <v>TORN. 5X25 POZI CAB. PLANA BICRO</v>
      </c>
      <c r="B192" s="2">
        <v>6</v>
      </c>
      <c r="C192" s="2">
        <v>191</v>
      </c>
      <c r="D192" s="11" t="str">
        <f t="shared" si="11"/>
        <v>MILL</v>
      </c>
      <c r="E192" s="12">
        <v>3474.5287500000009</v>
      </c>
      <c r="F192" s="13">
        <v>3474.5287500000009</v>
      </c>
      <c r="G192" s="14"/>
    </row>
    <row r="193" spans="1:7" x14ac:dyDescent="0.25">
      <c r="A193" s="34" t="str">
        <f>"TORN. 5X60 INOX POZI CAB PLANA"</f>
        <v>TORN. 5X60 INOX POZI CAB PLANA</v>
      </c>
      <c r="B193" s="2">
        <v>6</v>
      </c>
      <c r="C193" s="2">
        <v>16.399999999999999</v>
      </c>
      <c r="D193" s="11" t="str">
        <f t="shared" si="11"/>
        <v>MILL</v>
      </c>
      <c r="E193" s="12">
        <v>2340.4417567142855</v>
      </c>
      <c r="F193" s="13">
        <v>2340.4417567142855</v>
      </c>
      <c r="G193" s="14"/>
    </row>
    <row r="194" spans="1:7" x14ac:dyDescent="0.25">
      <c r="A194" s="34" t="str">
        <f>"TORN. 60X100 POZI CAB. PLANA  BICRO"</f>
        <v>TORN. 60X100 POZI CAB. PLANA  BICRO</v>
      </c>
      <c r="B194" s="2">
        <v>6</v>
      </c>
      <c r="C194" s="2">
        <v>40</v>
      </c>
      <c r="D194" s="11" t="str">
        <f t="shared" si="11"/>
        <v>MILL</v>
      </c>
      <c r="E194" s="12">
        <v>5927.124148936171</v>
      </c>
      <c r="F194" s="13">
        <v>5927.124148936171</v>
      </c>
      <c r="G194" s="14"/>
    </row>
    <row r="195" spans="1:7" x14ac:dyDescent="0.25">
      <c r="A195" s="34" t="str">
        <f>"TORN. 6X160 CINC POZI CAB. PLANA"</f>
        <v>TORN. 6X160 CINC POZI CAB. PLANA</v>
      </c>
      <c r="B195" s="2">
        <v>6</v>
      </c>
      <c r="C195" s="2">
        <v>0.4</v>
      </c>
      <c r="D195" s="11" t="str">
        <f t="shared" si="11"/>
        <v>MILL</v>
      </c>
      <c r="E195" s="12">
        <v>166.1137363244558</v>
      </c>
      <c r="F195" s="13">
        <v>166.1137363244558</v>
      </c>
      <c r="G195" s="14"/>
    </row>
    <row r="196" spans="1:7" x14ac:dyDescent="0.25">
      <c r="A196" s="34" t="str">
        <f>"TORN. DIN 571 - 8x60"</f>
        <v>TORN. DIN 571 - 8x60</v>
      </c>
      <c r="B196" s="2">
        <v>6</v>
      </c>
      <c r="C196" s="2">
        <v>44</v>
      </c>
      <c r="D196" s="11" t="str">
        <f t="shared" si="11"/>
        <v>MILL</v>
      </c>
      <c r="E196" s="12">
        <v>6772.1280000000006</v>
      </c>
      <c r="F196" s="13">
        <v>6772.1280000000006</v>
      </c>
      <c r="G196" s="14"/>
    </row>
    <row r="197" spans="1:7" x14ac:dyDescent="0.25">
      <c r="A197" s="34" t="str">
        <f>"TORN. FWS 6,0X100 TORX BICROMATADO"</f>
        <v>TORN. FWS 6,0X100 TORX BICROMATADO</v>
      </c>
      <c r="B197" s="2">
        <v>6</v>
      </c>
      <c r="C197" s="2">
        <v>0.6</v>
      </c>
      <c r="D197" s="11" t="str">
        <f t="shared" si="11"/>
        <v>MILL</v>
      </c>
      <c r="E197" s="12">
        <v>98.770864694335415</v>
      </c>
      <c r="F197" s="13">
        <v>98.770864694335415</v>
      </c>
      <c r="G197" s="14"/>
    </row>
    <row r="198" spans="1:7" x14ac:dyDescent="0.25">
      <c r="A198" s="34" t="str">
        <f>"TORN.3X35 TX TOR CAB. PLANA BICRO"</f>
        <v>TORN.3X35 TX TOR CAB. PLANA BICRO</v>
      </c>
      <c r="B198" s="2">
        <v>6</v>
      </c>
      <c r="C198" s="2">
        <v>11</v>
      </c>
      <c r="D198" s="11" t="str">
        <f t="shared" si="11"/>
        <v>MILL</v>
      </c>
      <c r="E198" s="12">
        <v>102.84999999999998</v>
      </c>
      <c r="F198" s="13">
        <v>102.84999999999998</v>
      </c>
      <c r="G198" s="14"/>
    </row>
    <row r="199" spans="1:7" x14ac:dyDescent="0.25">
      <c r="A199" s="34" t="s">
        <v>197</v>
      </c>
      <c r="B199" s="2">
        <v>6</v>
      </c>
      <c r="C199" s="2">
        <v>3</v>
      </c>
      <c r="D199" s="11" t="s">
        <v>1</v>
      </c>
      <c r="E199" s="12">
        <v>0</v>
      </c>
      <c r="F199" s="13">
        <v>0</v>
      </c>
      <c r="G199" s="14" t="s">
        <v>196</v>
      </c>
    </row>
    <row r="200" spans="1:7" x14ac:dyDescent="0.25">
      <c r="A200" s="34" t="str">
        <f>"TUERCA ARAÑA M6"</f>
        <v>TUERCA ARAÑA M6</v>
      </c>
      <c r="B200" s="2">
        <v>6</v>
      </c>
      <c r="C200" s="2">
        <v>450</v>
      </c>
      <c r="D200" s="11" t="str">
        <f>"MILL"</f>
        <v>MILL</v>
      </c>
      <c r="E200" s="12">
        <v>16533</v>
      </c>
      <c r="F200" s="13">
        <v>16533</v>
      </c>
      <c r="G200" s="14"/>
    </row>
    <row r="201" spans="1:7" x14ac:dyDescent="0.25">
      <c r="A201" s="34" t="str">
        <f>"TUERCA ARAÑA M8"</f>
        <v>TUERCA ARAÑA M8</v>
      </c>
      <c r="B201" s="2">
        <v>6</v>
      </c>
      <c r="C201" s="2">
        <v>270</v>
      </c>
      <c r="D201" s="11" t="str">
        <f>"MILL"</f>
        <v>MILL</v>
      </c>
      <c r="E201" s="12">
        <v>12360.918829787235</v>
      </c>
      <c r="F201" s="13">
        <v>12360.918829787235</v>
      </c>
      <c r="G201" s="14"/>
    </row>
    <row r="202" spans="1:7" x14ac:dyDescent="0.25">
      <c r="A202" s="34" t="str">
        <f>"UNIDAD HIDRA. PARA GATO CARRETILLA 3  TN"</f>
        <v>UNIDAD HIDRA. PARA GATO CARRETILLA 3  TN</v>
      </c>
      <c r="B202" s="2">
        <v>6</v>
      </c>
      <c r="C202" s="2">
        <v>2</v>
      </c>
      <c r="D202" s="11" t="str">
        <f t="shared" ref="D202:D265" si="12">"UN"</f>
        <v>UN</v>
      </c>
      <c r="E202" s="12">
        <v>0</v>
      </c>
      <c r="F202" s="13">
        <v>0</v>
      </c>
      <c r="G202" s="14" t="s">
        <v>190</v>
      </c>
    </row>
    <row r="203" spans="1:7" x14ac:dyDescent="0.25">
      <c r="A203" s="34" t="str">
        <f>" 20006 HZ3550"</f>
        <v xml:space="preserve"> 20006 HZ3550</v>
      </c>
      <c r="B203" s="2">
        <v>21</v>
      </c>
      <c r="C203" s="2">
        <v>10</v>
      </c>
      <c r="D203" s="11" t="str">
        <f t="shared" si="12"/>
        <v>UN</v>
      </c>
      <c r="E203" s="12">
        <v>79.337499999999991</v>
      </c>
      <c r="F203" s="13">
        <v>0</v>
      </c>
      <c r="G203" s="14" t="s">
        <v>198</v>
      </c>
    </row>
    <row r="204" spans="1:7" x14ac:dyDescent="0.25">
      <c r="A204" s="34" t="str">
        <f>" BUHNEN HB700"</f>
        <v xml:space="preserve"> BUHNEN HB700</v>
      </c>
      <c r="B204" s="2">
        <v>21</v>
      </c>
      <c r="C204" s="2">
        <v>3</v>
      </c>
      <c r="D204" s="11" t="str">
        <f t="shared" si="12"/>
        <v>UN</v>
      </c>
      <c r="E204" s="12">
        <v>94.668750000000003</v>
      </c>
      <c r="F204" s="13">
        <v>0</v>
      </c>
      <c r="G204" s="14" t="s">
        <v>198</v>
      </c>
    </row>
    <row r="205" spans="1:7" x14ac:dyDescent="0.25">
      <c r="A205" s="34" t="str">
        <f>" BUHNEN HB710"</f>
        <v xml:space="preserve"> BUHNEN HB710</v>
      </c>
      <c r="B205" s="2">
        <v>21</v>
      </c>
      <c r="C205" s="2">
        <v>1</v>
      </c>
      <c r="D205" s="11" t="str">
        <f t="shared" si="12"/>
        <v>UN</v>
      </c>
      <c r="E205" s="12">
        <v>15.180000000000001</v>
      </c>
      <c r="F205" s="13">
        <v>0</v>
      </c>
      <c r="G205" s="14" t="s">
        <v>198</v>
      </c>
    </row>
    <row r="206" spans="1:7" x14ac:dyDescent="0.25">
      <c r="A206" s="34" t="str">
        <f>" HC0089= HC0300"</f>
        <v xml:space="preserve"> HC0089= HC0300</v>
      </c>
      <c r="B206" s="2">
        <v>21</v>
      </c>
      <c r="C206" s="2">
        <v>9</v>
      </c>
      <c r="D206" s="11" t="str">
        <f t="shared" si="12"/>
        <v>UN</v>
      </c>
      <c r="E206" s="12">
        <v>257.02875</v>
      </c>
      <c r="F206" s="13">
        <v>0</v>
      </c>
      <c r="G206" s="14" t="s">
        <v>198</v>
      </c>
    </row>
    <row r="207" spans="1:7" x14ac:dyDescent="0.25">
      <c r="A207" s="34" t="str">
        <f>" MAX HN90"</f>
        <v xml:space="preserve"> MAX HN90</v>
      </c>
      <c r="B207" s="2">
        <v>21</v>
      </c>
      <c r="C207" s="2">
        <v>1</v>
      </c>
      <c r="D207" s="11" t="str">
        <f t="shared" si="12"/>
        <v>UN</v>
      </c>
      <c r="E207" s="12">
        <v>0</v>
      </c>
      <c r="F207" s="13">
        <v>0</v>
      </c>
      <c r="G207" s="14" t="s">
        <v>198</v>
      </c>
    </row>
    <row r="208" spans="1:7" x14ac:dyDescent="0.25">
      <c r="A208" s="34" t="str">
        <f>" MAX HN90"</f>
        <v xml:space="preserve"> MAX HN90</v>
      </c>
      <c r="B208" s="2">
        <v>21</v>
      </c>
      <c r="C208" s="2">
        <v>2</v>
      </c>
      <c r="D208" s="11" t="str">
        <f t="shared" si="12"/>
        <v>UN</v>
      </c>
      <c r="E208" s="12">
        <v>66.632500000000007</v>
      </c>
      <c r="F208" s="13">
        <v>0</v>
      </c>
      <c r="G208" s="14" t="s">
        <v>198</v>
      </c>
    </row>
    <row r="209" spans="1:7" x14ac:dyDescent="0.25">
      <c r="A209" s="34" t="str">
        <f>" MAX HN90"</f>
        <v xml:space="preserve"> MAX HN90</v>
      </c>
      <c r="B209" s="2">
        <v>21</v>
      </c>
      <c r="C209" s="2">
        <v>1</v>
      </c>
      <c r="D209" s="11" t="str">
        <f t="shared" si="12"/>
        <v>UN</v>
      </c>
      <c r="E209" s="12">
        <v>0</v>
      </c>
      <c r="F209" s="13">
        <v>0</v>
      </c>
      <c r="G209" s="14" t="s">
        <v>198</v>
      </c>
    </row>
    <row r="210" spans="1:7" x14ac:dyDescent="0.25">
      <c r="A210" s="34" t="str">
        <f>" MAX HN90"</f>
        <v xml:space="preserve"> MAX HN90</v>
      </c>
      <c r="B210" s="2">
        <v>21</v>
      </c>
      <c r="C210" s="2">
        <v>3</v>
      </c>
      <c r="D210" s="11" t="str">
        <f t="shared" si="12"/>
        <v>UN</v>
      </c>
      <c r="E210" s="12">
        <v>0</v>
      </c>
      <c r="F210" s="13">
        <v>0</v>
      </c>
      <c r="G210" s="14" t="s">
        <v>198</v>
      </c>
    </row>
    <row r="211" spans="1:7" x14ac:dyDescent="0.25">
      <c r="A211" s="34" t="str">
        <f>" MAX HN90"</f>
        <v xml:space="preserve"> MAX HN90</v>
      </c>
      <c r="B211" s="2">
        <v>21</v>
      </c>
      <c r="C211" s="2">
        <v>3</v>
      </c>
      <c r="D211" s="11" t="str">
        <f t="shared" si="12"/>
        <v>UN</v>
      </c>
      <c r="E211" s="12">
        <v>108.98250000000002</v>
      </c>
      <c r="F211" s="13">
        <v>0</v>
      </c>
      <c r="G211" s="14" t="s">
        <v>198</v>
      </c>
    </row>
    <row r="212" spans="1:7" x14ac:dyDescent="0.25">
      <c r="A212" s="34" t="str">
        <f>" TORNILLO HB700"</f>
        <v xml:space="preserve"> TORNILLO HB700</v>
      </c>
      <c r="B212" s="2">
        <v>21</v>
      </c>
      <c r="C212" s="2">
        <v>3</v>
      </c>
      <c r="D212" s="11" t="str">
        <f t="shared" si="12"/>
        <v>UN</v>
      </c>
      <c r="E212" s="12">
        <v>45.993750000000006</v>
      </c>
      <c r="F212" s="13">
        <v>0</v>
      </c>
      <c r="G212" s="14" t="s">
        <v>198</v>
      </c>
    </row>
    <row r="213" spans="1:7" x14ac:dyDescent="0.25">
      <c r="A213" s="34" t="str">
        <f>"021 UÑA DCHA.22mm. MP35-22"</f>
        <v>021 UÑA DCHA.22mm. MP35-22</v>
      </c>
      <c r="B213" s="2">
        <v>21</v>
      </c>
      <c r="C213" s="2">
        <v>3</v>
      </c>
      <c r="D213" s="11" t="str">
        <f t="shared" si="12"/>
        <v>UN</v>
      </c>
      <c r="E213" s="12">
        <v>61.462499999999999</v>
      </c>
      <c r="F213" s="13">
        <v>0</v>
      </c>
      <c r="G213" s="14" t="s">
        <v>198</v>
      </c>
    </row>
    <row r="214" spans="1:7" x14ac:dyDescent="0.25">
      <c r="A214" s="34" t="str">
        <f>"022 UÑA IZQ.22mm. MP35-22"</f>
        <v>022 UÑA IZQ.22mm. MP35-22</v>
      </c>
      <c r="B214" s="2">
        <v>21</v>
      </c>
      <c r="C214" s="2">
        <v>2</v>
      </c>
      <c r="D214" s="11" t="str">
        <f t="shared" si="12"/>
        <v>UN</v>
      </c>
      <c r="E214" s="12">
        <v>40.975000000000001</v>
      </c>
      <c r="F214" s="13">
        <v>0</v>
      </c>
      <c r="G214" s="14" t="s">
        <v>198</v>
      </c>
    </row>
    <row r="215" spans="1:7" x14ac:dyDescent="0.25">
      <c r="A215" s="34" t="str">
        <f>"032 EMPUJADOR 19-35 MP35-22"</f>
        <v>032 EMPUJADOR 19-35 MP35-22</v>
      </c>
      <c r="B215" s="2">
        <v>21</v>
      </c>
      <c r="C215" s="2">
        <v>3</v>
      </c>
      <c r="D215" s="11" t="str">
        <f t="shared" si="12"/>
        <v>UN</v>
      </c>
      <c r="E215" s="12">
        <v>79.035000000000011</v>
      </c>
      <c r="F215" s="13">
        <v>0</v>
      </c>
      <c r="G215" s="14" t="s">
        <v>198</v>
      </c>
    </row>
    <row r="216" spans="1:7" x14ac:dyDescent="0.25">
      <c r="A216" s="34" t="str">
        <f>"034 MUELLE EMP. MP35-22"</f>
        <v>034 MUELLE EMP. MP35-22</v>
      </c>
      <c r="B216" s="2">
        <v>21</v>
      </c>
      <c r="C216" s="2">
        <v>2</v>
      </c>
      <c r="D216" s="11" t="str">
        <f t="shared" si="12"/>
        <v>UN</v>
      </c>
      <c r="E216" s="12">
        <v>21.725000000000005</v>
      </c>
      <c r="F216" s="13">
        <v>0</v>
      </c>
      <c r="G216" s="14" t="s">
        <v>198</v>
      </c>
    </row>
    <row r="217" spans="1:7" x14ac:dyDescent="0.25">
      <c r="A217" s="34" t="str">
        <f>"134201 MORRO SFT10-G3"</f>
        <v>134201 MORRO SFT10-G3</v>
      </c>
      <c r="B217" s="2">
        <v>21</v>
      </c>
      <c r="C217" s="2">
        <v>3</v>
      </c>
      <c r="D217" s="11" t="str">
        <f t="shared" si="12"/>
        <v>UN</v>
      </c>
      <c r="E217" s="12">
        <v>107.29124999999999</v>
      </c>
      <c r="F217" s="13">
        <v>0</v>
      </c>
      <c r="G217" s="14" t="s">
        <v>198</v>
      </c>
    </row>
    <row r="218" spans="1:7" x14ac:dyDescent="0.25">
      <c r="A218" s="34" t="str">
        <f>"15002 PISTON VALV. HZ3547"</f>
        <v>15002 PISTON VALV. HZ3547</v>
      </c>
      <c r="B218" s="2">
        <v>21</v>
      </c>
      <c r="C218" s="2">
        <v>5</v>
      </c>
      <c r="D218" s="11" t="str">
        <f t="shared" si="12"/>
        <v>UN</v>
      </c>
      <c r="E218" s="12">
        <v>41.73125000000001</v>
      </c>
      <c r="F218" s="13">
        <v>0</v>
      </c>
      <c r="G218" s="14" t="s">
        <v>198</v>
      </c>
    </row>
    <row r="219" spans="1:7" x14ac:dyDescent="0.25">
      <c r="A219" s="34" t="str">
        <f>"15003 MUELLE PRESION HZ3547"</f>
        <v>15003 MUELLE PRESION HZ3547</v>
      </c>
      <c r="B219" s="2">
        <v>21</v>
      </c>
      <c r="C219" s="2">
        <v>9</v>
      </c>
      <c r="D219" s="11" t="str">
        <f t="shared" si="12"/>
        <v>UN</v>
      </c>
      <c r="E219" s="12">
        <v>48.881250000000009</v>
      </c>
      <c r="F219" s="13">
        <v>0</v>
      </c>
      <c r="G219" s="14" t="s">
        <v>198</v>
      </c>
    </row>
    <row r="220" spans="1:7" x14ac:dyDescent="0.25">
      <c r="A220" s="34" t="str">
        <f>"15004 TAPA VALV. HZ3547"</f>
        <v>15004 TAPA VALV. HZ3547</v>
      </c>
      <c r="B220" s="2">
        <v>21</v>
      </c>
      <c r="C220" s="2">
        <v>1</v>
      </c>
      <c r="D220" s="11" t="str">
        <f t="shared" si="12"/>
        <v>UN</v>
      </c>
      <c r="E220" s="12">
        <v>7.4937500000000012</v>
      </c>
      <c r="F220" s="13">
        <v>0</v>
      </c>
      <c r="G220" s="14" t="s">
        <v>198</v>
      </c>
    </row>
    <row r="221" spans="1:7" x14ac:dyDescent="0.25">
      <c r="A221" s="34" t="str">
        <f>"15008 JUNTA HZ 3547"</f>
        <v>15008 JUNTA HZ 3547</v>
      </c>
      <c r="B221" s="2">
        <v>21</v>
      </c>
      <c r="C221" s="2">
        <v>14</v>
      </c>
      <c r="D221" s="11" t="str">
        <f t="shared" si="12"/>
        <v>UN</v>
      </c>
      <c r="E221" s="12">
        <v>116.84750000000001</v>
      </c>
      <c r="F221" s="13">
        <v>0</v>
      </c>
      <c r="G221" s="14" t="s">
        <v>198</v>
      </c>
    </row>
    <row r="222" spans="1:7" x14ac:dyDescent="0.25">
      <c r="A222" s="34" t="str">
        <f>"15501 CABEZA HZ 3536"</f>
        <v>15501 CABEZA HZ 3536</v>
      </c>
      <c r="B222" s="2">
        <v>21</v>
      </c>
      <c r="C222" s="2">
        <v>1</v>
      </c>
      <c r="D222" s="11" t="str">
        <f t="shared" si="12"/>
        <v>UN</v>
      </c>
      <c r="E222" s="12">
        <v>231</v>
      </c>
      <c r="F222" s="13">
        <v>0</v>
      </c>
      <c r="G222" s="14" t="s">
        <v>198</v>
      </c>
    </row>
    <row r="223" spans="1:7" x14ac:dyDescent="0.25">
      <c r="A223" s="34" t="str">
        <f>"15504"</f>
        <v>15504</v>
      </c>
      <c r="B223" s="2">
        <v>21</v>
      </c>
      <c r="C223" s="2">
        <v>6</v>
      </c>
      <c r="D223" s="11" t="str">
        <f t="shared" si="12"/>
        <v>UN</v>
      </c>
      <c r="E223" s="12">
        <v>27.719999999999995</v>
      </c>
      <c r="F223" s="13">
        <v>0</v>
      </c>
      <c r="G223" s="14" t="s">
        <v>198</v>
      </c>
    </row>
    <row r="224" spans="1:7" x14ac:dyDescent="0.25">
      <c r="A224" s="34" t="str">
        <f>"15505 JUNTA HZ 3535"</f>
        <v>15505 JUNTA HZ 3535</v>
      </c>
      <c r="B224" s="2">
        <v>21</v>
      </c>
      <c r="C224" s="2">
        <v>5</v>
      </c>
      <c r="D224" s="11" t="str">
        <f t="shared" si="12"/>
        <v>UN</v>
      </c>
      <c r="E224" s="12">
        <v>56.443750000000009</v>
      </c>
      <c r="F224" s="13">
        <v>0</v>
      </c>
      <c r="G224" s="14" t="s">
        <v>198</v>
      </c>
    </row>
    <row r="225" spans="1:7" x14ac:dyDescent="0.25">
      <c r="A225" s="34" t="str">
        <f>"15506 DEFLECTOR HZ 3536"</f>
        <v>15506 DEFLECTOR HZ 3536</v>
      </c>
      <c r="B225" s="2">
        <v>21</v>
      </c>
      <c r="C225" s="2">
        <v>3</v>
      </c>
      <c r="D225" s="11" t="str">
        <f t="shared" si="12"/>
        <v>UN</v>
      </c>
      <c r="E225" s="12">
        <v>24.419999999999995</v>
      </c>
      <c r="F225" s="13">
        <v>0</v>
      </c>
      <c r="G225" s="14" t="s">
        <v>198</v>
      </c>
    </row>
    <row r="226" spans="1:7" x14ac:dyDescent="0.25">
      <c r="A226" s="34" t="str">
        <f>"168005"</f>
        <v>168005</v>
      </c>
      <c r="B226" s="2">
        <v>21</v>
      </c>
      <c r="C226" s="2">
        <v>1</v>
      </c>
      <c r="D226" s="11" t="str">
        <f t="shared" si="12"/>
        <v>UN</v>
      </c>
      <c r="E226" s="12">
        <v>46.488749999999996</v>
      </c>
      <c r="F226" s="13">
        <v>0</v>
      </c>
      <c r="G226" s="14" t="s">
        <v>198</v>
      </c>
    </row>
    <row r="227" spans="1:7" x14ac:dyDescent="0.25">
      <c r="A227" s="34" t="str">
        <f>"172342 CUBRE PISTAS SFT10 (METALICO)"</f>
        <v>172342 CUBRE PISTAS SFT10 (METALICO)</v>
      </c>
      <c r="B227" s="2">
        <v>21</v>
      </c>
      <c r="C227" s="2">
        <v>10</v>
      </c>
      <c r="D227" s="11" t="str">
        <f t="shared" si="12"/>
        <v>UN</v>
      </c>
      <c r="E227" s="12">
        <v>716.92500000000007</v>
      </c>
      <c r="F227" s="13">
        <v>0</v>
      </c>
      <c r="G227" s="14" t="s">
        <v>198</v>
      </c>
    </row>
    <row r="228" spans="1:7" x14ac:dyDescent="0.25">
      <c r="A228" s="34" t="str">
        <f>"188008 VAR.SELC.PINS-FPI"</f>
        <v>188008 VAR.SELC.PINS-FPI</v>
      </c>
      <c r="B228" s="2">
        <v>21</v>
      </c>
      <c r="C228" s="2">
        <v>13</v>
      </c>
      <c r="D228" s="11" t="str">
        <f t="shared" si="12"/>
        <v>UN</v>
      </c>
      <c r="E228" s="12">
        <v>0</v>
      </c>
      <c r="F228" s="13">
        <v>0</v>
      </c>
      <c r="G228" s="14" t="s">
        <v>198</v>
      </c>
    </row>
    <row r="229" spans="1:7" x14ac:dyDescent="0.25">
      <c r="A229" s="34" t="str">
        <f>"1I1025  NUM. 66 JUNTA"</f>
        <v>1I1025  NUM. 66 JUNTA</v>
      </c>
      <c r="B229" s="2">
        <v>21</v>
      </c>
      <c r="C229" s="2">
        <v>3</v>
      </c>
      <c r="D229" s="11" t="str">
        <f t="shared" si="12"/>
        <v>UN</v>
      </c>
      <c r="E229" s="12">
        <v>5.5687500000000032</v>
      </c>
      <c r="F229" s="13">
        <v>0</v>
      </c>
      <c r="G229" s="14" t="s">
        <v>198</v>
      </c>
    </row>
    <row r="230" spans="1:7" x14ac:dyDescent="0.25">
      <c r="A230" s="34" t="str">
        <f>"20002 HZ 3535/3536"</f>
        <v>20002 HZ 3535/3536</v>
      </c>
      <c r="B230" s="2">
        <v>21</v>
      </c>
      <c r="C230" s="2">
        <v>13</v>
      </c>
      <c r="D230" s="11" t="str">
        <f t="shared" si="12"/>
        <v>UN</v>
      </c>
      <c r="E230" s="12">
        <v>24.667499999999997</v>
      </c>
      <c r="F230" s="13">
        <v>0</v>
      </c>
      <c r="G230" s="14" t="s">
        <v>198</v>
      </c>
    </row>
    <row r="231" spans="1:7" x14ac:dyDescent="0.25">
      <c r="A231" s="34" t="str">
        <f>"20004 JUNTA HZ 3547"</f>
        <v>20004 JUNTA HZ 3547</v>
      </c>
      <c r="B231" s="2">
        <v>21</v>
      </c>
      <c r="C231" s="2">
        <v>18</v>
      </c>
      <c r="D231" s="11" t="str">
        <f t="shared" si="12"/>
        <v>UN</v>
      </c>
      <c r="E231" s="12">
        <v>37.125000000000007</v>
      </c>
      <c r="F231" s="13">
        <v>0</v>
      </c>
      <c r="G231" s="14" t="s">
        <v>198</v>
      </c>
    </row>
    <row r="232" spans="1:7" x14ac:dyDescent="0.25">
      <c r="A232" s="34" t="str">
        <f>"20004 JUNTA HZ3535/36"</f>
        <v>20004 JUNTA HZ3535/36</v>
      </c>
      <c r="B232" s="2">
        <v>21</v>
      </c>
      <c r="C232" s="2">
        <v>2</v>
      </c>
      <c r="D232" s="11" t="str">
        <f t="shared" si="12"/>
        <v>UN</v>
      </c>
      <c r="E232" s="12">
        <v>3.7949999999999999</v>
      </c>
      <c r="F232" s="13">
        <v>0</v>
      </c>
      <c r="G232" s="14" t="s">
        <v>198</v>
      </c>
    </row>
    <row r="233" spans="1:7" x14ac:dyDescent="0.25">
      <c r="A233" s="34" t="str">
        <f>"20005"</f>
        <v>20005</v>
      </c>
      <c r="B233" s="2">
        <v>21</v>
      </c>
      <c r="C233" s="2">
        <v>1</v>
      </c>
      <c r="D233" s="11" t="str">
        <f t="shared" si="12"/>
        <v>UN</v>
      </c>
      <c r="E233" s="12">
        <v>11.770000000000001</v>
      </c>
      <c r="F233" s="13">
        <v>0</v>
      </c>
      <c r="G233" s="14" t="s">
        <v>198</v>
      </c>
    </row>
    <row r="234" spans="1:7" x14ac:dyDescent="0.25">
      <c r="A234" s="34" t="str">
        <f>"20007"</f>
        <v>20007</v>
      </c>
      <c r="B234" s="2">
        <v>21</v>
      </c>
      <c r="C234" s="2">
        <v>1</v>
      </c>
      <c r="D234" s="11" t="str">
        <f t="shared" si="12"/>
        <v>UN</v>
      </c>
      <c r="E234" s="12">
        <v>2.48875</v>
      </c>
      <c r="F234" s="13">
        <v>0</v>
      </c>
      <c r="G234" s="14" t="s">
        <v>198</v>
      </c>
    </row>
    <row r="235" spans="1:7" x14ac:dyDescent="0.25">
      <c r="A235" s="34" t="str">
        <f>"20009"</f>
        <v>20009</v>
      </c>
      <c r="B235" s="2">
        <v>21</v>
      </c>
      <c r="C235" s="2">
        <v>10</v>
      </c>
      <c r="D235" s="11" t="str">
        <f t="shared" si="12"/>
        <v>UN</v>
      </c>
      <c r="E235" s="12">
        <v>18.975000000000001</v>
      </c>
      <c r="F235" s="13">
        <v>0</v>
      </c>
      <c r="G235" s="14" t="s">
        <v>198</v>
      </c>
    </row>
    <row r="236" spans="1:7" x14ac:dyDescent="0.25">
      <c r="A236" s="34" t="str">
        <f>"20011"</f>
        <v>20011</v>
      </c>
      <c r="B236" s="2">
        <v>21</v>
      </c>
      <c r="C236" s="2">
        <v>10</v>
      </c>
      <c r="D236" s="11" t="str">
        <f t="shared" si="12"/>
        <v>UN</v>
      </c>
      <c r="E236" s="12">
        <v>18.975000000000001</v>
      </c>
      <c r="F236" s="13">
        <v>0</v>
      </c>
      <c r="G236" s="14" t="s">
        <v>198</v>
      </c>
    </row>
    <row r="237" spans="1:7" x14ac:dyDescent="0.25">
      <c r="A237" s="34" t="str">
        <f>"20012"</f>
        <v>20012</v>
      </c>
      <c r="B237" s="2">
        <v>21</v>
      </c>
      <c r="C237" s="2">
        <v>4</v>
      </c>
      <c r="D237" s="11" t="str">
        <f t="shared" si="12"/>
        <v>UN</v>
      </c>
      <c r="E237" s="12">
        <v>39.050000000000004</v>
      </c>
      <c r="F237" s="13">
        <v>0</v>
      </c>
      <c r="G237" s="14" t="s">
        <v>198</v>
      </c>
    </row>
    <row r="238" spans="1:7" x14ac:dyDescent="0.25">
      <c r="A238" s="34" t="str">
        <f>"20013"</f>
        <v>20013</v>
      </c>
      <c r="B238" s="2">
        <v>21</v>
      </c>
      <c r="C238" s="2">
        <v>4</v>
      </c>
      <c r="D238" s="11" t="str">
        <f t="shared" si="12"/>
        <v>UN</v>
      </c>
      <c r="E238" s="12">
        <v>84.259999999999991</v>
      </c>
      <c r="F238" s="13">
        <v>0</v>
      </c>
      <c r="G238" s="14" t="s">
        <v>198</v>
      </c>
    </row>
    <row r="239" spans="1:7" x14ac:dyDescent="0.25">
      <c r="A239" s="34" t="str">
        <f>"20014 HZ3550"</f>
        <v>20014 HZ3550</v>
      </c>
      <c r="B239" s="2">
        <v>21</v>
      </c>
      <c r="C239" s="2">
        <v>8</v>
      </c>
      <c r="D239" s="11" t="str">
        <f t="shared" si="12"/>
        <v>UN</v>
      </c>
      <c r="E239" s="12">
        <v>43.45</v>
      </c>
      <c r="F239" s="13">
        <v>0</v>
      </c>
      <c r="G239" s="14" t="s">
        <v>198</v>
      </c>
    </row>
    <row r="240" spans="1:7" x14ac:dyDescent="0.25">
      <c r="A240" s="34" t="str">
        <f>"20015"</f>
        <v>20015</v>
      </c>
      <c r="B240" s="2">
        <v>21</v>
      </c>
      <c r="C240" s="2">
        <v>10</v>
      </c>
      <c r="D240" s="11" t="str">
        <f t="shared" si="12"/>
        <v>UN</v>
      </c>
      <c r="E240" s="12">
        <v>97.625000000000014</v>
      </c>
      <c r="F240" s="13">
        <v>0</v>
      </c>
      <c r="G240" s="14" t="s">
        <v>198</v>
      </c>
    </row>
    <row r="241" spans="1:7" x14ac:dyDescent="0.25">
      <c r="A241" s="34" t="str">
        <f>"20018 EJE MUELLE HZ 3535/36"</f>
        <v>20018 EJE MUELLE HZ 3535/36</v>
      </c>
      <c r="B241" s="2">
        <v>21</v>
      </c>
      <c r="C241" s="2">
        <v>4</v>
      </c>
      <c r="D241" s="11" t="str">
        <f t="shared" si="12"/>
        <v>UN</v>
      </c>
      <c r="E241" s="12">
        <v>46.86</v>
      </c>
      <c r="F241" s="13">
        <v>0</v>
      </c>
      <c r="G241" s="14" t="s">
        <v>198</v>
      </c>
    </row>
    <row r="242" spans="1:7" x14ac:dyDescent="0.25">
      <c r="A242" s="34" t="str">
        <f>"30001 MORRO HZ 3547"</f>
        <v>30001 MORRO HZ 3547</v>
      </c>
      <c r="B242" s="2">
        <v>21</v>
      </c>
      <c r="C242" s="2">
        <v>2</v>
      </c>
      <c r="D242" s="11" t="str">
        <f t="shared" si="12"/>
        <v>UN</v>
      </c>
      <c r="E242" s="12">
        <v>1438.3049999999998</v>
      </c>
      <c r="F242" s="13">
        <v>0</v>
      </c>
      <c r="G242" s="14" t="s">
        <v>198</v>
      </c>
    </row>
    <row r="243" spans="1:7" x14ac:dyDescent="0.25">
      <c r="A243" s="34" t="str">
        <f>"30004 MUELLE HZ3536"</f>
        <v>30004 MUELLE HZ3536</v>
      </c>
      <c r="B243" s="2">
        <v>21</v>
      </c>
      <c r="C243" s="2">
        <v>1</v>
      </c>
      <c r="D243" s="11" t="str">
        <f t="shared" si="12"/>
        <v>UN</v>
      </c>
      <c r="E243" s="12">
        <v>7.4937500000000012</v>
      </c>
      <c r="F243" s="13">
        <v>0</v>
      </c>
      <c r="G243" s="14" t="s">
        <v>198</v>
      </c>
    </row>
    <row r="244" spans="1:7" x14ac:dyDescent="0.25">
      <c r="A244" s="34" t="str">
        <f>"30006"</f>
        <v>30006</v>
      </c>
      <c r="B244" s="2">
        <v>21</v>
      </c>
      <c r="C244" s="2">
        <v>6</v>
      </c>
      <c r="D244" s="11" t="str">
        <f t="shared" si="12"/>
        <v>UN</v>
      </c>
      <c r="E244" s="12">
        <v>58.575000000000003</v>
      </c>
      <c r="F244" s="13">
        <v>0</v>
      </c>
      <c r="G244" s="14" t="s">
        <v>198</v>
      </c>
    </row>
    <row r="245" spans="1:7" x14ac:dyDescent="0.25">
      <c r="A245" s="34" t="str">
        <f>"30020 HZ 3535/36"</f>
        <v>30020 HZ 3535/36</v>
      </c>
      <c r="B245" s="2">
        <v>21</v>
      </c>
      <c r="C245" s="2">
        <v>4</v>
      </c>
      <c r="D245" s="11" t="str">
        <f t="shared" si="12"/>
        <v>UN</v>
      </c>
      <c r="E245" s="12">
        <v>212.96</v>
      </c>
      <c r="F245" s="13">
        <v>0</v>
      </c>
      <c r="G245" s="14" t="s">
        <v>198</v>
      </c>
    </row>
    <row r="246" spans="1:7" x14ac:dyDescent="0.25">
      <c r="A246" s="34" t="str">
        <f>"300646 = Conj. PISTON PEQUEÑO+DRIVER R3C"</f>
        <v>300646 = Conj. PISTON PEQUEÑO+DRIVER R3C</v>
      </c>
      <c r="B246" s="2">
        <v>21</v>
      </c>
      <c r="C246" s="2">
        <v>113</v>
      </c>
      <c r="D246" s="11" t="str">
        <f t="shared" si="12"/>
        <v>UN</v>
      </c>
      <c r="E246" s="12">
        <v>11109.3125</v>
      </c>
      <c r="F246" s="13">
        <v>0</v>
      </c>
      <c r="G246" s="14" t="s">
        <v>198</v>
      </c>
    </row>
    <row r="247" spans="1:7" x14ac:dyDescent="0.25">
      <c r="A247" s="34" t="str">
        <f>"326036"</f>
        <v>326036</v>
      </c>
      <c r="B247" s="2">
        <v>21</v>
      </c>
      <c r="C247" s="2">
        <v>5</v>
      </c>
      <c r="D247" s="11" t="str">
        <f t="shared" si="12"/>
        <v>UN</v>
      </c>
      <c r="E247" s="12">
        <v>91.643749999999997</v>
      </c>
      <c r="F247" s="13">
        <v>0</v>
      </c>
      <c r="G247" s="14" t="s">
        <v>198</v>
      </c>
    </row>
    <row r="248" spans="1:7" x14ac:dyDescent="0.25">
      <c r="A248" s="34" t="str">
        <f>"348002= R14.4/12"</f>
        <v>348002= R14.4/12</v>
      </c>
      <c r="B248" s="2">
        <v>21</v>
      </c>
      <c r="C248" s="2">
        <v>5</v>
      </c>
      <c r="D248" s="11" t="str">
        <f t="shared" si="12"/>
        <v>UN</v>
      </c>
      <c r="E248" s="12">
        <v>11.756250000000003</v>
      </c>
      <c r="F248" s="13">
        <v>0</v>
      </c>
      <c r="G248" s="14" t="s">
        <v>198</v>
      </c>
    </row>
    <row r="249" spans="1:7" x14ac:dyDescent="0.25">
      <c r="A249" s="34" t="str">
        <f>"401-1034 JUNTA Nº07 SA PT840"</f>
        <v>401-1034 JUNTA Nº07 SA PT840</v>
      </c>
      <c r="B249" s="2">
        <v>21</v>
      </c>
      <c r="C249" s="2">
        <v>7</v>
      </c>
      <c r="D249" s="11" t="str">
        <f t="shared" si="12"/>
        <v>UN</v>
      </c>
      <c r="E249" s="12">
        <v>15.496250000000002</v>
      </c>
      <c r="F249" s="13">
        <v>0</v>
      </c>
      <c r="G249" s="14" t="s">
        <v>198</v>
      </c>
    </row>
    <row r="250" spans="1:7" x14ac:dyDescent="0.25">
      <c r="A250" s="34" t="str">
        <f>"401-P12 JUNTA Nº08 SA PT840"</f>
        <v>401-P12 JUNTA Nº08 SA PT840</v>
      </c>
      <c r="B250" s="2">
        <v>21</v>
      </c>
      <c r="C250" s="2">
        <v>9</v>
      </c>
      <c r="D250" s="11" t="str">
        <f t="shared" si="12"/>
        <v>UN</v>
      </c>
      <c r="E250" s="12">
        <v>21.408750000000005</v>
      </c>
      <c r="F250" s="13">
        <v>0</v>
      </c>
      <c r="G250" s="14" t="s">
        <v>198</v>
      </c>
    </row>
    <row r="251" spans="1:7" x14ac:dyDescent="0.25">
      <c r="A251" s="34" t="str">
        <f>"42529 = 140-120"</f>
        <v>42529 = 140-120</v>
      </c>
      <c r="B251" s="2">
        <v>21</v>
      </c>
      <c r="C251" s="2">
        <v>3</v>
      </c>
      <c r="D251" s="11" t="str">
        <f t="shared" si="12"/>
        <v>UN</v>
      </c>
      <c r="E251" s="12">
        <v>203.6925</v>
      </c>
      <c r="F251" s="13">
        <v>0</v>
      </c>
      <c r="G251" s="14" t="s">
        <v>198</v>
      </c>
    </row>
    <row r="252" spans="1:7" x14ac:dyDescent="0.25">
      <c r="A252" s="34" t="str">
        <f>"50001 JUNTA HZ3535"</f>
        <v>50001 JUNTA HZ3535</v>
      </c>
      <c r="B252" s="2">
        <v>21</v>
      </c>
      <c r="C252" s="2">
        <v>10</v>
      </c>
      <c r="D252" s="11" t="str">
        <f t="shared" si="12"/>
        <v>UN</v>
      </c>
      <c r="E252" s="12">
        <v>32.312500000000007</v>
      </c>
      <c r="F252" s="13">
        <v>0</v>
      </c>
      <c r="G252" s="14" t="s">
        <v>198</v>
      </c>
    </row>
    <row r="253" spans="1:7" x14ac:dyDescent="0.25">
      <c r="A253" s="34" t="str">
        <f>"50001 JUNTA PISTON HZ3547"</f>
        <v>50001 JUNTA PISTON HZ3547</v>
      </c>
      <c r="B253" s="2">
        <v>21</v>
      </c>
      <c r="C253" s="2">
        <v>15</v>
      </c>
      <c r="D253" s="11" t="str">
        <f t="shared" si="12"/>
        <v>UN</v>
      </c>
      <c r="E253" s="12">
        <v>96.112500000000011</v>
      </c>
      <c r="F253" s="13">
        <v>0</v>
      </c>
      <c r="G253" s="14" t="s">
        <v>198</v>
      </c>
    </row>
    <row r="254" spans="1:7" x14ac:dyDescent="0.25">
      <c r="A254" s="34" t="str">
        <f>"50001 PIST.LENG. HOLZHER 3539"</f>
        <v>50001 PIST.LENG. HOLZHER 3539</v>
      </c>
      <c r="B254" s="2">
        <v>21</v>
      </c>
      <c r="C254" s="2">
        <v>4</v>
      </c>
      <c r="D254" s="11" t="str">
        <f t="shared" si="12"/>
        <v>UN</v>
      </c>
      <c r="E254" s="12">
        <v>519.47500000000002</v>
      </c>
      <c r="F254" s="13">
        <v>0</v>
      </c>
      <c r="G254" s="14" t="s">
        <v>198</v>
      </c>
    </row>
    <row r="255" spans="1:7" x14ac:dyDescent="0.25">
      <c r="A255" s="34" t="str">
        <f>"55001"</f>
        <v>55001</v>
      </c>
      <c r="B255" s="2">
        <v>21</v>
      </c>
      <c r="C255" s="2">
        <v>3</v>
      </c>
      <c r="D255" s="11" t="str">
        <f t="shared" si="12"/>
        <v>UN</v>
      </c>
      <c r="E255" s="12">
        <v>60.431249999999999</v>
      </c>
      <c r="F255" s="13">
        <v>0</v>
      </c>
      <c r="G255" s="14" t="s">
        <v>198</v>
      </c>
    </row>
    <row r="256" spans="1:7" x14ac:dyDescent="0.25">
      <c r="A256" s="34" t="str">
        <f>"55004"</f>
        <v>55004</v>
      </c>
      <c r="B256" s="2">
        <v>21</v>
      </c>
      <c r="C256" s="2">
        <v>4</v>
      </c>
      <c r="D256" s="11" t="str">
        <f t="shared" si="12"/>
        <v>UN</v>
      </c>
      <c r="E256" s="12">
        <v>37.950000000000003</v>
      </c>
      <c r="F256" s="13">
        <v>0</v>
      </c>
      <c r="G256" s="14" t="s">
        <v>198</v>
      </c>
    </row>
    <row r="257" spans="1:7" x14ac:dyDescent="0.25">
      <c r="A257" s="34" t="str">
        <f>"55004 REM.PROTEC. HZ 3539"</f>
        <v>55004 REM.PROTEC. HZ 3539</v>
      </c>
      <c r="B257" s="2">
        <v>21</v>
      </c>
      <c r="C257" s="2">
        <v>10</v>
      </c>
      <c r="D257" s="11" t="str">
        <f t="shared" si="12"/>
        <v>UN</v>
      </c>
      <c r="E257" s="12">
        <v>18.975000000000001</v>
      </c>
      <c r="F257" s="13">
        <v>0</v>
      </c>
      <c r="G257" s="14" t="s">
        <v>198</v>
      </c>
    </row>
    <row r="258" spans="1:7" x14ac:dyDescent="0.25">
      <c r="A258" s="34" t="str">
        <f>"55005 PIN PROTECT. HZ 3539"</f>
        <v>55005 PIN PROTECT. HZ 3539</v>
      </c>
      <c r="B258" s="2">
        <v>21</v>
      </c>
      <c r="C258" s="2">
        <v>9</v>
      </c>
      <c r="D258" s="11" t="str">
        <f t="shared" si="12"/>
        <v>UN</v>
      </c>
      <c r="E258" s="12">
        <v>17.077499999999997</v>
      </c>
      <c r="F258" s="13">
        <v>0</v>
      </c>
      <c r="G258" s="14" t="s">
        <v>198</v>
      </c>
    </row>
    <row r="259" spans="1:7" x14ac:dyDescent="0.25">
      <c r="A259" s="34" t="str">
        <f>"55006 ARANDELA HZ3536"</f>
        <v>55006 ARANDELA HZ3536</v>
      </c>
      <c r="B259" s="2">
        <v>21</v>
      </c>
      <c r="C259" s="2">
        <v>5</v>
      </c>
      <c r="D259" s="11" t="str">
        <f t="shared" si="12"/>
        <v>UN</v>
      </c>
      <c r="E259" s="12">
        <v>68.612500000000011</v>
      </c>
      <c r="F259" s="13">
        <v>0</v>
      </c>
      <c r="G259" s="14" t="s">
        <v>198</v>
      </c>
    </row>
    <row r="260" spans="1:7" x14ac:dyDescent="0.25">
      <c r="A260" s="34" t="str">
        <f>"55010 GATILLO COMPLETO 3539"</f>
        <v>55010 GATILLO COMPLETO 3539</v>
      </c>
      <c r="B260" s="2">
        <v>21</v>
      </c>
      <c r="C260" s="2">
        <v>1</v>
      </c>
      <c r="D260" s="11" t="str">
        <f t="shared" si="12"/>
        <v>UN</v>
      </c>
      <c r="E260" s="12">
        <v>19.855</v>
      </c>
      <c r="F260" s="13">
        <v>0</v>
      </c>
      <c r="G260" s="14" t="s">
        <v>198</v>
      </c>
    </row>
    <row r="261" spans="1:7" x14ac:dyDescent="0.25">
      <c r="A261" s="34" t="str">
        <f>"55011"</f>
        <v>55011</v>
      </c>
      <c r="B261" s="2">
        <v>21</v>
      </c>
      <c r="C261" s="2">
        <v>4</v>
      </c>
      <c r="D261" s="11" t="str">
        <f t="shared" si="12"/>
        <v>UN</v>
      </c>
      <c r="E261" s="12">
        <v>8.2500000000000018</v>
      </c>
      <c r="F261" s="13">
        <v>0</v>
      </c>
      <c r="G261" s="14" t="s">
        <v>198</v>
      </c>
    </row>
    <row r="262" spans="1:7" x14ac:dyDescent="0.25">
      <c r="A262" s="34" t="str">
        <f>"55013"</f>
        <v>55013</v>
      </c>
      <c r="B262" s="2">
        <v>21</v>
      </c>
      <c r="C262" s="2">
        <v>10</v>
      </c>
      <c r="D262" s="11" t="str">
        <f t="shared" si="12"/>
        <v>UN</v>
      </c>
      <c r="E262" s="12">
        <v>18.975000000000001</v>
      </c>
      <c r="F262" s="13">
        <v>0</v>
      </c>
      <c r="G262" s="14" t="s">
        <v>198</v>
      </c>
    </row>
    <row r="263" spans="1:7" x14ac:dyDescent="0.25">
      <c r="A263" s="34" t="str">
        <f>"55018 HZ 3536 NG"</f>
        <v>55018 HZ 3536 NG</v>
      </c>
      <c r="B263" s="2">
        <v>21</v>
      </c>
      <c r="C263" s="2">
        <v>14</v>
      </c>
      <c r="D263" s="11" t="str">
        <f t="shared" si="12"/>
        <v>UN</v>
      </c>
      <c r="E263" s="12">
        <v>29.260000000000005</v>
      </c>
      <c r="F263" s="13">
        <v>0</v>
      </c>
      <c r="G263" s="14" t="s">
        <v>198</v>
      </c>
    </row>
    <row r="264" spans="1:7" x14ac:dyDescent="0.25">
      <c r="A264" s="34" t="str">
        <f>"55020 GAT.COMP.TIRO A TIRO 3539"</f>
        <v>55020 GAT.COMP.TIRO A TIRO 3539</v>
      </c>
      <c r="B264" s="2">
        <v>21</v>
      </c>
      <c r="C264" s="2">
        <v>2</v>
      </c>
      <c r="D264" s="11" t="str">
        <f t="shared" si="12"/>
        <v>UN</v>
      </c>
      <c r="E264" s="12">
        <v>59.84</v>
      </c>
      <c r="F264" s="13">
        <v>0</v>
      </c>
      <c r="G264" s="14" t="s">
        <v>198</v>
      </c>
    </row>
    <row r="265" spans="1:7" x14ac:dyDescent="0.25">
      <c r="A265" s="34" t="str">
        <f>"55021 GATILLO HZ3535/36"</f>
        <v>55021 GATILLO HZ3535/36</v>
      </c>
      <c r="B265" s="2">
        <v>21</v>
      </c>
      <c r="C265" s="2">
        <v>9</v>
      </c>
      <c r="D265" s="11" t="str">
        <f t="shared" si="12"/>
        <v>UN</v>
      </c>
      <c r="E265" s="12">
        <v>57.667499999999997</v>
      </c>
      <c r="F265" s="13">
        <v>0</v>
      </c>
      <c r="G265" s="14" t="s">
        <v>198</v>
      </c>
    </row>
    <row r="266" spans="1:7" x14ac:dyDescent="0.25">
      <c r="A266" s="34" t="str">
        <f>"55024 HZ 3536 NG"</f>
        <v>55024 HZ 3536 NG</v>
      </c>
      <c r="B266" s="2">
        <v>21</v>
      </c>
      <c r="C266" s="2">
        <v>5</v>
      </c>
      <c r="D266" s="11" t="str">
        <f t="shared" ref="D266:D329" si="13">"UN"</f>
        <v>UN</v>
      </c>
      <c r="E266" s="12">
        <v>9.4875000000000007</v>
      </c>
      <c r="F266" s="13">
        <v>0</v>
      </c>
      <c r="G266" s="14" t="s">
        <v>198</v>
      </c>
    </row>
    <row r="267" spans="1:7" x14ac:dyDescent="0.25">
      <c r="A267" s="34" t="str">
        <f>"55025 HZ 3536 NG"</f>
        <v>55025 HZ 3536 NG</v>
      </c>
      <c r="B267" s="2">
        <v>21</v>
      </c>
      <c r="C267" s="2">
        <v>3</v>
      </c>
      <c r="D267" s="11" t="str">
        <f t="shared" si="13"/>
        <v>UN</v>
      </c>
      <c r="E267" s="12">
        <v>59.441249999999997</v>
      </c>
      <c r="F267" s="13">
        <v>0</v>
      </c>
      <c r="G267" s="14" t="s">
        <v>198</v>
      </c>
    </row>
    <row r="268" spans="1:7" x14ac:dyDescent="0.25">
      <c r="A268" s="34" t="str">
        <f>"55103 JUNTA HZ 3536"</f>
        <v>55103 JUNTA HZ 3536</v>
      </c>
      <c r="B268" s="2">
        <v>21</v>
      </c>
      <c r="C268" s="2">
        <v>4</v>
      </c>
      <c r="D268" s="11" t="str">
        <f t="shared" si="13"/>
        <v>UN</v>
      </c>
      <c r="E268" s="12">
        <v>32.945000000000007</v>
      </c>
      <c r="F268" s="13">
        <v>0</v>
      </c>
      <c r="G268" s="14" t="s">
        <v>198</v>
      </c>
    </row>
    <row r="269" spans="1:7" x14ac:dyDescent="0.25">
      <c r="A269" s="34" t="str">
        <f>"55104"</f>
        <v>55104</v>
      </c>
      <c r="B269" s="2">
        <v>21</v>
      </c>
      <c r="C269" s="2">
        <v>9</v>
      </c>
      <c r="D269" s="11" t="str">
        <f t="shared" si="13"/>
        <v>UN</v>
      </c>
      <c r="E269" s="12">
        <v>24.255000000000006</v>
      </c>
      <c r="F269" s="13">
        <v>0</v>
      </c>
      <c r="G269" s="14" t="s">
        <v>198</v>
      </c>
    </row>
    <row r="270" spans="1:7" x14ac:dyDescent="0.25">
      <c r="A270" s="34" t="str">
        <f>"55105 JUNTA HZ 3536"</f>
        <v>55105 JUNTA HZ 3536</v>
      </c>
      <c r="B270" s="2">
        <v>21</v>
      </c>
      <c r="C270" s="2">
        <v>14</v>
      </c>
      <c r="D270" s="11" t="str">
        <f t="shared" si="13"/>
        <v>UN</v>
      </c>
      <c r="E270" s="12">
        <v>85.085000000000008</v>
      </c>
      <c r="F270" s="13">
        <v>0</v>
      </c>
      <c r="G270" s="14" t="s">
        <v>198</v>
      </c>
    </row>
    <row r="271" spans="1:7" x14ac:dyDescent="0.25">
      <c r="A271" s="34" t="str">
        <f>"55106 JUNTA HZ 3536"</f>
        <v>55106 JUNTA HZ 3536</v>
      </c>
      <c r="B271" s="2">
        <v>21</v>
      </c>
      <c r="C271" s="2">
        <v>3</v>
      </c>
      <c r="D271" s="11" t="str">
        <f t="shared" si="13"/>
        <v>UN</v>
      </c>
      <c r="E271" s="12">
        <v>19.2225</v>
      </c>
      <c r="F271" s="13">
        <v>0</v>
      </c>
      <c r="G271" s="14" t="s">
        <v>198</v>
      </c>
    </row>
    <row r="272" spans="1:7" x14ac:dyDescent="0.25">
      <c r="A272" s="34" t="str">
        <f>"55111 COLLAR HZ 3547"</f>
        <v>55111 COLLAR HZ 3547</v>
      </c>
      <c r="B272" s="2">
        <v>21</v>
      </c>
      <c r="C272" s="2">
        <v>1</v>
      </c>
      <c r="D272" s="11" t="str">
        <f t="shared" si="13"/>
        <v>UN</v>
      </c>
      <c r="E272" s="12">
        <v>0</v>
      </c>
      <c r="F272" s="13">
        <v>0</v>
      </c>
      <c r="G272" s="14" t="s">
        <v>198</v>
      </c>
    </row>
    <row r="273" spans="1:7" x14ac:dyDescent="0.25">
      <c r="A273" s="34" t="str">
        <f>"55115 VALV. HZ3535"</f>
        <v>55115 VALV. HZ3535</v>
      </c>
      <c r="B273" s="2">
        <v>21</v>
      </c>
      <c r="C273" s="2">
        <v>1</v>
      </c>
      <c r="D273" s="11" t="str">
        <f t="shared" si="13"/>
        <v>UN</v>
      </c>
      <c r="E273" s="12">
        <v>27.775000000000002</v>
      </c>
      <c r="F273" s="13">
        <v>0</v>
      </c>
      <c r="G273" s="14" t="s">
        <v>198</v>
      </c>
    </row>
    <row r="274" spans="1:7" x14ac:dyDescent="0.25">
      <c r="A274" s="34" t="str">
        <f>"55116"</f>
        <v>55116</v>
      </c>
      <c r="B274" s="2">
        <v>21</v>
      </c>
      <c r="C274" s="2">
        <v>8</v>
      </c>
      <c r="D274" s="11" t="str">
        <f t="shared" si="13"/>
        <v>UN</v>
      </c>
      <c r="E274" s="12">
        <v>49.5</v>
      </c>
      <c r="F274" s="13">
        <v>0</v>
      </c>
      <c r="G274" s="14" t="s">
        <v>198</v>
      </c>
    </row>
    <row r="275" spans="1:7" x14ac:dyDescent="0.25">
      <c r="A275" s="34" t="str">
        <f>"55117 SEGURO 3539"</f>
        <v>55117 SEGURO 3539</v>
      </c>
      <c r="B275" s="2">
        <v>21</v>
      </c>
      <c r="C275" s="2">
        <v>4</v>
      </c>
      <c r="D275" s="11" t="str">
        <f t="shared" si="13"/>
        <v>UN</v>
      </c>
      <c r="E275" s="12">
        <v>140.08500000000001</v>
      </c>
      <c r="F275" s="13">
        <v>0</v>
      </c>
      <c r="G275" s="14" t="s">
        <v>198</v>
      </c>
    </row>
    <row r="276" spans="1:7" x14ac:dyDescent="0.25">
      <c r="A276" s="34" t="str">
        <f>"55120 SEGURO HZ 3547"</f>
        <v>55120 SEGURO HZ 3547</v>
      </c>
      <c r="B276" s="2">
        <v>21</v>
      </c>
      <c r="C276" s="2">
        <v>2</v>
      </c>
      <c r="D276" s="11" t="str">
        <f t="shared" si="13"/>
        <v>UN</v>
      </c>
      <c r="E276" s="12">
        <v>233.00750000000005</v>
      </c>
      <c r="F276" s="13">
        <v>0</v>
      </c>
      <c r="G276" s="14" t="s">
        <v>198</v>
      </c>
    </row>
    <row r="277" spans="1:7" x14ac:dyDescent="0.25">
      <c r="A277" s="34" t="str">
        <f>"55120 SEGURO HZ3550"</f>
        <v>55120 SEGURO HZ3550</v>
      </c>
      <c r="B277" s="2">
        <v>21</v>
      </c>
      <c r="C277" s="2">
        <v>1</v>
      </c>
      <c r="D277" s="11" t="str">
        <f t="shared" si="13"/>
        <v>UN</v>
      </c>
      <c r="E277" s="12">
        <v>138.99875</v>
      </c>
      <c r="F277" s="13">
        <v>0</v>
      </c>
      <c r="G277" s="14" t="s">
        <v>198</v>
      </c>
    </row>
    <row r="278" spans="1:7" x14ac:dyDescent="0.25">
      <c r="A278" s="34" t="str">
        <f>"55127 BASE SEGURO 3539"</f>
        <v>55127 BASE SEGURO 3539</v>
      </c>
      <c r="B278" s="2">
        <v>21</v>
      </c>
      <c r="C278" s="2">
        <v>3</v>
      </c>
      <c r="D278" s="11" t="str">
        <f t="shared" si="13"/>
        <v>UN</v>
      </c>
      <c r="E278" s="12">
        <v>95.576250000000016</v>
      </c>
      <c r="F278" s="13">
        <v>0</v>
      </c>
      <c r="G278" s="14" t="s">
        <v>198</v>
      </c>
    </row>
    <row r="279" spans="1:7" x14ac:dyDescent="0.25">
      <c r="A279" s="34" t="str">
        <f>"622041= OR2137"</f>
        <v>622041= OR2137</v>
      </c>
      <c r="B279" s="2">
        <v>21</v>
      </c>
      <c r="C279" s="2">
        <v>21</v>
      </c>
      <c r="D279" s="11" t="str">
        <f t="shared" si="13"/>
        <v>UN</v>
      </c>
      <c r="E279" s="12">
        <v>50.242500000000007</v>
      </c>
      <c r="F279" s="13">
        <v>0</v>
      </c>
      <c r="G279" s="14" t="s">
        <v>198</v>
      </c>
    </row>
    <row r="280" spans="1:7" x14ac:dyDescent="0.25">
      <c r="A280" s="34" t="str">
        <f>"6403  DEFLECTOR 64B02"</f>
        <v>6403  DEFLECTOR 64B02</v>
      </c>
      <c r="B280" s="2">
        <v>21</v>
      </c>
      <c r="C280" s="2">
        <v>2</v>
      </c>
      <c r="D280" s="11" t="str">
        <f t="shared" si="13"/>
        <v>UN</v>
      </c>
      <c r="E280" s="12">
        <v>23.76</v>
      </c>
      <c r="F280" s="13">
        <v>0</v>
      </c>
      <c r="G280" s="14" t="s">
        <v>198</v>
      </c>
    </row>
    <row r="281" spans="1:7" x14ac:dyDescent="0.25">
      <c r="A281" s="34" t="str">
        <f>"6404 TAPA CIL.64B03"</f>
        <v>6404 TAPA CIL.64B03</v>
      </c>
      <c r="B281" s="2">
        <v>21</v>
      </c>
      <c r="C281" s="2">
        <v>2</v>
      </c>
      <c r="D281" s="11" t="str">
        <f t="shared" si="13"/>
        <v>UN</v>
      </c>
      <c r="E281" s="12">
        <v>60.912499999999994</v>
      </c>
      <c r="F281" s="13">
        <v>0</v>
      </c>
      <c r="G281" s="14" t="s">
        <v>198</v>
      </c>
    </row>
    <row r="282" spans="1:7" x14ac:dyDescent="0.25">
      <c r="A282" s="34" t="str">
        <f>"6407 JUNTA 64B06"</f>
        <v>6407 JUNTA 64B06</v>
      </c>
      <c r="B282" s="2">
        <v>21</v>
      </c>
      <c r="C282" s="2">
        <v>3</v>
      </c>
      <c r="D282" s="11" t="str">
        <f t="shared" si="13"/>
        <v>UN</v>
      </c>
      <c r="E282" s="12">
        <v>28.380000000000006</v>
      </c>
      <c r="F282" s="13">
        <v>0</v>
      </c>
      <c r="G282" s="14" t="s">
        <v>198</v>
      </c>
    </row>
    <row r="283" spans="1:7" x14ac:dyDescent="0.25">
      <c r="A283" s="34" t="str">
        <f>"6409 JUNTA 64B08"</f>
        <v>6409 JUNTA 64B08</v>
      </c>
      <c r="B283" s="2">
        <v>21</v>
      </c>
      <c r="C283" s="2">
        <v>8</v>
      </c>
      <c r="D283" s="11" t="str">
        <f t="shared" si="13"/>
        <v>UN</v>
      </c>
      <c r="E283" s="12">
        <v>52.8</v>
      </c>
      <c r="F283" s="13">
        <v>0</v>
      </c>
      <c r="G283" s="14" t="s">
        <v>198</v>
      </c>
    </row>
    <row r="284" spans="1:7" x14ac:dyDescent="0.25">
      <c r="A284" s="34" t="str">
        <f>"6411 VALVULA 64B11"</f>
        <v>6411 VALVULA 64B11</v>
      </c>
      <c r="B284" s="2">
        <v>21</v>
      </c>
      <c r="C284" s="2">
        <v>2</v>
      </c>
      <c r="D284" s="11" t="str">
        <f t="shared" si="13"/>
        <v>UN</v>
      </c>
      <c r="E284" s="12">
        <v>140.03</v>
      </c>
      <c r="F284" s="13">
        <v>0</v>
      </c>
      <c r="G284" s="14" t="s">
        <v>198</v>
      </c>
    </row>
    <row r="285" spans="1:7" x14ac:dyDescent="0.25">
      <c r="A285" s="34" t="str">
        <f>"6412 JUNTA 64B10"</f>
        <v>6412 JUNTA 64B10</v>
      </c>
      <c r="B285" s="2">
        <v>21</v>
      </c>
      <c r="C285" s="2">
        <v>3</v>
      </c>
      <c r="D285" s="11" t="str">
        <f t="shared" si="13"/>
        <v>UN</v>
      </c>
      <c r="E285" s="12">
        <v>17.613750000000003</v>
      </c>
      <c r="F285" s="13">
        <v>0</v>
      </c>
      <c r="G285" s="14" t="s">
        <v>198</v>
      </c>
    </row>
    <row r="286" spans="1:7" x14ac:dyDescent="0.25">
      <c r="A286" s="34" t="str">
        <f>"6414 JUNTA 64B12"</f>
        <v>6414 JUNTA 64B12</v>
      </c>
      <c r="B286" s="2">
        <v>21</v>
      </c>
      <c r="C286" s="2">
        <v>1</v>
      </c>
      <c r="D286" s="11" t="str">
        <f t="shared" si="13"/>
        <v>UN</v>
      </c>
      <c r="E286" s="12">
        <v>17.256250000000001</v>
      </c>
      <c r="F286" s="13">
        <v>0</v>
      </c>
      <c r="G286" s="14" t="s">
        <v>198</v>
      </c>
    </row>
    <row r="287" spans="1:7" x14ac:dyDescent="0.25">
      <c r="A287" s="34" t="str">
        <f>"6416 JUNTA 64B14"</f>
        <v>6416 JUNTA 64B14</v>
      </c>
      <c r="B287" s="2">
        <v>21</v>
      </c>
      <c r="C287" s="2">
        <v>21</v>
      </c>
      <c r="D287" s="11" t="str">
        <f t="shared" si="13"/>
        <v>UN</v>
      </c>
      <c r="E287" s="12">
        <v>155.05875000000003</v>
      </c>
      <c r="F287" s="13">
        <v>0</v>
      </c>
      <c r="G287" s="14" t="s">
        <v>198</v>
      </c>
    </row>
    <row r="288" spans="1:7" x14ac:dyDescent="0.25">
      <c r="A288" s="34" t="str">
        <f>"6417 CAMISA 64B15"</f>
        <v>6417 CAMISA 64B15</v>
      </c>
      <c r="B288" s="2">
        <v>21</v>
      </c>
      <c r="C288" s="2">
        <v>1</v>
      </c>
      <c r="D288" s="11" t="str">
        <f t="shared" si="13"/>
        <v>UN</v>
      </c>
      <c r="E288" s="12">
        <v>45.072500000000005</v>
      </c>
      <c r="F288" s="13">
        <v>0</v>
      </c>
      <c r="G288" s="14" t="s">
        <v>198</v>
      </c>
    </row>
    <row r="289" spans="1:7" x14ac:dyDescent="0.25">
      <c r="A289" s="34" t="str">
        <f>"6418 JUNTA 64B16"</f>
        <v>6418 JUNTA 64B16</v>
      </c>
      <c r="B289" s="2">
        <v>21</v>
      </c>
      <c r="C289" s="2">
        <v>1</v>
      </c>
      <c r="D289" s="11" t="str">
        <f t="shared" si="13"/>
        <v>UN</v>
      </c>
      <c r="E289" s="12">
        <v>14.588750000000001</v>
      </c>
      <c r="F289" s="13">
        <v>0</v>
      </c>
      <c r="G289" s="14" t="s">
        <v>198</v>
      </c>
    </row>
    <row r="290" spans="1:7" x14ac:dyDescent="0.25">
      <c r="A290" s="34" t="str">
        <f>"6419 JUNTA 64B17"</f>
        <v>6419 JUNTA 64B17</v>
      </c>
      <c r="B290" s="2">
        <v>21</v>
      </c>
      <c r="C290" s="2">
        <v>10</v>
      </c>
      <c r="D290" s="11" t="str">
        <f t="shared" si="13"/>
        <v>UN</v>
      </c>
      <c r="E290" s="12">
        <v>143.55000000000001</v>
      </c>
      <c r="F290" s="13">
        <v>0</v>
      </c>
      <c r="G290" s="14" t="s">
        <v>198</v>
      </c>
    </row>
    <row r="291" spans="1:7" x14ac:dyDescent="0.25">
      <c r="A291" s="34" t="str">
        <f>"6421 TAPON 64B19"</f>
        <v>6421 TAPON 64B19</v>
      </c>
      <c r="B291" s="2">
        <v>21</v>
      </c>
      <c r="C291" s="2">
        <v>3</v>
      </c>
      <c r="D291" s="11" t="str">
        <f t="shared" si="13"/>
        <v>UN</v>
      </c>
      <c r="E291" s="12">
        <v>41.827500000000001</v>
      </c>
      <c r="F291" s="13">
        <v>0</v>
      </c>
      <c r="G291" s="14" t="s">
        <v>198</v>
      </c>
    </row>
    <row r="292" spans="1:7" x14ac:dyDescent="0.25">
      <c r="A292" s="34" t="str">
        <f>"6422 COPPER COVER - VAL.DISPARO"</f>
        <v>6422 COPPER COVER - VAL.DISPARO</v>
      </c>
      <c r="B292" s="2">
        <v>21</v>
      </c>
      <c r="C292" s="2">
        <v>1</v>
      </c>
      <c r="D292" s="11" t="str">
        <f t="shared" si="13"/>
        <v>UN</v>
      </c>
      <c r="E292" s="12">
        <v>8.442499999999999</v>
      </c>
      <c r="F292" s="13">
        <v>0</v>
      </c>
      <c r="G292" s="14" t="s">
        <v>198</v>
      </c>
    </row>
    <row r="293" spans="1:7" x14ac:dyDescent="0.25">
      <c r="A293" s="34" t="str">
        <f>"6423 JUNTA 64B20"</f>
        <v>6423 JUNTA 64B20</v>
      </c>
      <c r="B293" s="2">
        <v>21</v>
      </c>
      <c r="C293" s="2">
        <v>8</v>
      </c>
      <c r="D293" s="11" t="str">
        <f t="shared" si="13"/>
        <v>UN</v>
      </c>
      <c r="E293" s="12">
        <v>45.87</v>
      </c>
      <c r="F293" s="13">
        <v>0</v>
      </c>
      <c r="G293" s="14" t="s">
        <v>198</v>
      </c>
    </row>
    <row r="294" spans="1:7" x14ac:dyDescent="0.25">
      <c r="A294" s="34" t="str">
        <f>"6424 MUELLE 64B22"</f>
        <v>6424 MUELLE 64B22</v>
      </c>
      <c r="B294" s="2">
        <v>21</v>
      </c>
      <c r="C294" s="2">
        <v>11</v>
      </c>
      <c r="D294" s="11" t="str">
        <f t="shared" si="13"/>
        <v>UN</v>
      </c>
      <c r="E294" s="12">
        <v>77.742500000000007</v>
      </c>
      <c r="F294" s="13">
        <v>0</v>
      </c>
      <c r="G294" s="14" t="s">
        <v>198</v>
      </c>
    </row>
    <row r="295" spans="1:7" x14ac:dyDescent="0.25">
      <c r="A295" s="34" t="str">
        <f>"6427 CUELLO 64B25"</f>
        <v>6427 CUELLO 64B25</v>
      </c>
      <c r="B295" s="2">
        <v>21</v>
      </c>
      <c r="C295" s="2">
        <v>20</v>
      </c>
      <c r="D295" s="11" t="str">
        <f t="shared" si="13"/>
        <v>UN</v>
      </c>
      <c r="E295" s="12">
        <v>195.25000000000003</v>
      </c>
      <c r="F295" s="13">
        <v>0</v>
      </c>
      <c r="G295" s="14" t="s">
        <v>198</v>
      </c>
    </row>
    <row r="296" spans="1:7" x14ac:dyDescent="0.25">
      <c r="A296" s="34" t="str">
        <f>"6428 JUNTAS 64B26"</f>
        <v>6428 JUNTAS 64B26</v>
      </c>
      <c r="B296" s="2">
        <v>21</v>
      </c>
      <c r="C296" s="2">
        <v>8</v>
      </c>
      <c r="D296" s="11" t="str">
        <f t="shared" si="13"/>
        <v>UN</v>
      </c>
      <c r="E296" s="12">
        <v>59.95000000000001</v>
      </c>
      <c r="F296" s="13">
        <v>0</v>
      </c>
      <c r="G296" s="14" t="s">
        <v>198</v>
      </c>
    </row>
    <row r="297" spans="1:7" x14ac:dyDescent="0.25">
      <c r="A297" s="34" t="str">
        <f>"6432 TORNILLO 64B37"</f>
        <v>6432 TORNILLO 64B37</v>
      </c>
      <c r="B297" s="2">
        <v>21</v>
      </c>
      <c r="C297" s="2">
        <v>2</v>
      </c>
      <c r="D297" s="11" t="str">
        <f t="shared" si="13"/>
        <v>UN</v>
      </c>
      <c r="E297" s="12">
        <v>6.4625000000000012</v>
      </c>
      <c r="F297" s="13">
        <v>0</v>
      </c>
      <c r="G297" s="14" t="s">
        <v>198</v>
      </c>
    </row>
    <row r="298" spans="1:7" x14ac:dyDescent="0.25">
      <c r="A298" s="34" t="str">
        <f>"6433 GROVER 64B55"</f>
        <v>6433 GROVER 64B55</v>
      </c>
      <c r="B298" s="2">
        <v>21</v>
      </c>
      <c r="C298" s="2">
        <v>15</v>
      </c>
      <c r="D298" s="11" t="str">
        <f t="shared" si="13"/>
        <v>UN</v>
      </c>
      <c r="E298" s="12">
        <v>27.84375</v>
      </c>
      <c r="F298" s="13">
        <v>0</v>
      </c>
      <c r="G298" s="14" t="s">
        <v>198</v>
      </c>
    </row>
    <row r="299" spans="1:7" x14ac:dyDescent="0.25">
      <c r="A299" s="34" t="str">
        <f>"6434 MELLES 64B38"</f>
        <v>6434 MELLES 64B38</v>
      </c>
      <c r="B299" s="2">
        <v>21</v>
      </c>
      <c r="C299" s="2">
        <v>20</v>
      </c>
      <c r="D299" s="11" t="str">
        <f t="shared" si="13"/>
        <v>UN</v>
      </c>
      <c r="E299" s="12">
        <v>265.64999999999998</v>
      </c>
      <c r="F299" s="13">
        <v>0</v>
      </c>
      <c r="G299" s="14" t="s">
        <v>198</v>
      </c>
    </row>
    <row r="300" spans="1:7" x14ac:dyDescent="0.25">
      <c r="A300" s="34" t="str">
        <f>"6435 SOPORTE 64B36"</f>
        <v>6435 SOPORTE 64B36</v>
      </c>
      <c r="B300" s="2">
        <v>21</v>
      </c>
      <c r="C300" s="2">
        <v>6</v>
      </c>
      <c r="D300" s="11" t="str">
        <f t="shared" si="13"/>
        <v>UN</v>
      </c>
      <c r="E300" s="12">
        <v>93.472500000000011</v>
      </c>
      <c r="F300" s="13">
        <v>0</v>
      </c>
      <c r="G300" s="14" t="s">
        <v>198</v>
      </c>
    </row>
    <row r="301" spans="1:7" x14ac:dyDescent="0.25">
      <c r="A301" s="34" t="str">
        <f>"6437 TORNILLO 64B39"</f>
        <v>6437 TORNILLO 64B39</v>
      </c>
      <c r="B301" s="2">
        <v>21</v>
      </c>
      <c r="C301" s="2">
        <v>35</v>
      </c>
      <c r="D301" s="11" t="str">
        <f t="shared" si="13"/>
        <v>UN</v>
      </c>
      <c r="E301" s="12">
        <v>125.12500000000001</v>
      </c>
      <c r="F301" s="13">
        <v>0</v>
      </c>
      <c r="G301" s="14" t="s">
        <v>198</v>
      </c>
    </row>
    <row r="302" spans="1:7" x14ac:dyDescent="0.25">
      <c r="A302" s="34" t="str">
        <f>"6439+6438+6440= GATILLO 64B33"</f>
        <v>6439+6438+6440= GATILLO 64B33</v>
      </c>
      <c r="B302" s="2">
        <v>21</v>
      </c>
      <c r="C302" s="2">
        <v>3</v>
      </c>
      <c r="D302" s="11" t="str">
        <f t="shared" si="13"/>
        <v>UN</v>
      </c>
      <c r="E302" s="12">
        <v>38.032500000000006</v>
      </c>
      <c r="F302" s="13">
        <v>0</v>
      </c>
      <c r="G302" s="14" t="s">
        <v>198</v>
      </c>
    </row>
    <row r="303" spans="1:7" x14ac:dyDescent="0.25">
      <c r="A303" s="34" t="str">
        <f>"6441 TORNILLO 64B30"</f>
        <v>6441 TORNILLO 64B30</v>
      </c>
      <c r="B303" s="2">
        <v>21</v>
      </c>
      <c r="C303" s="2">
        <v>30</v>
      </c>
      <c r="D303" s="11" t="str">
        <f t="shared" si="13"/>
        <v>UN</v>
      </c>
      <c r="E303" s="12">
        <v>62.7</v>
      </c>
      <c r="F303" s="13">
        <v>0</v>
      </c>
      <c r="G303" s="14" t="s">
        <v>198</v>
      </c>
    </row>
    <row r="304" spans="1:7" x14ac:dyDescent="0.25">
      <c r="A304" s="34" t="str">
        <f>"6442 MUELLE 64B31"</f>
        <v>6442 MUELLE 64B31</v>
      </c>
      <c r="B304" s="2">
        <v>21</v>
      </c>
      <c r="C304" s="2">
        <v>10</v>
      </c>
      <c r="D304" s="11" t="str">
        <f t="shared" si="13"/>
        <v>UN</v>
      </c>
      <c r="E304" s="12">
        <v>40.425000000000011</v>
      </c>
      <c r="F304" s="13">
        <v>0</v>
      </c>
      <c r="G304" s="14" t="s">
        <v>198</v>
      </c>
    </row>
    <row r="305" spans="1:7" x14ac:dyDescent="0.25">
      <c r="A305" s="34" t="str">
        <f>"6443 TORNILLO 64B40"</f>
        <v>6443 TORNILLO 64B40</v>
      </c>
      <c r="B305" s="2">
        <v>21</v>
      </c>
      <c r="C305" s="2">
        <v>10</v>
      </c>
      <c r="D305" s="11" t="str">
        <f t="shared" si="13"/>
        <v>UN</v>
      </c>
      <c r="E305" s="12">
        <v>18.5625</v>
      </c>
      <c r="F305" s="13">
        <v>0</v>
      </c>
      <c r="G305" s="14" t="s">
        <v>198</v>
      </c>
    </row>
    <row r="306" spans="1:7" x14ac:dyDescent="0.25">
      <c r="A306" s="34" t="str">
        <f>"6444 GROVER 64B58"</f>
        <v>6444 GROVER 64B58</v>
      </c>
      <c r="B306" s="2">
        <v>21</v>
      </c>
      <c r="C306" s="2">
        <v>27</v>
      </c>
      <c r="D306" s="11" t="str">
        <f t="shared" si="13"/>
        <v>UN</v>
      </c>
      <c r="E306" s="12">
        <v>0</v>
      </c>
      <c r="F306" s="13">
        <v>0</v>
      </c>
      <c r="G306" s="14" t="s">
        <v>198</v>
      </c>
    </row>
    <row r="307" spans="1:7" x14ac:dyDescent="0.25">
      <c r="A307" s="34" t="str">
        <f>"6445 TUERCA 64B28"</f>
        <v>6445 TUERCA 64B28</v>
      </c>
      <c r="B307" s="2">
        <v>21</v>
      </c>
      <c r="C307" s="2">
        <v>13</v>
      </c>
      <c r="D307" s="11" t="str">
        <f t="shared" si="13"/>
        <v>UN</v>
      </c>
      <c r="E307" s="12">
        <v>74.896250000000009</v>
      </c>
      <c r="F307" s="13">
        <v>0</v>
      </c>
      <c r="G307" s="14" t="s">
        <v>198</v>
      </c>
    </row>
    <row r="308" spans="1:7" x14ac:dyDescent="0.25">
      <c r="A308" s="34" t="str">
        <f>"6446 SEPARADOR 64B29"</f>
        <v>6446 SEPARADOR 64B29</v>
      </c>
      <c r="B308" s="2">
        <v>21</v>
      </c>
      <c r="C308" s="2">
        <v>12</v>
      </c>
      <c r="D308" s="11" t="str">
        <f t="shared" si="13"/>
        <v>UN</v>
      </c>
      <c r="E308" s="12">
        <v>101.30999999999999</v>
      </c>
      <c r="F308" s="13">
        <v>0</v>
      </c>
      <c r="G308" s="14" t="s">
        <v>198</v>
      </c>
    </row>
    <row r="309" spans="1:7" x14ac:dyDescent="0.25">
      <c r="A309" s="34" t="str">
        <f>"6447 TORNILLO 64B34"</f>
        <v>6447 TORNILLO 64B34</v>
      </c>
      <c r="B309" s="2">
        <v>21</v>
      </c>
      <c r="C309" s="2">
        <v>15</v>
      </c>
      <c r="D309" s="11" t="str">
        <f t="shared" si="13"/>
        <v>UN</v>
      </c>
      <c r="E309" s="12">
        <v>35.268749999999997</v>
      </c>
      <c r="F309" s="13">
        <v>0</v>
      </c>
      <c r="G309" s="14" t="s">
        <v>198</v>
      </c>
    </row>
    <row r="310" spans="1:7" x14ac:dyDescent="0.25">
      <c r="A310" s="34" t="str">
        <f>"6449 TORNILLO 64B48"</f>
        <v>6449 TORNILLO 64B48</v>
      </c>
      <c r="B310" s="2">
        <v>21</v>
      </c>
      <c r="C310" s="2">
        <v>10</v>
      </c>
      <c r="D310" s="11" t="str">
        <f t="shared" si="13"/>
        <v>UN</v>
      </c>
      <c r="E310" s="12">
        <v>54.3125</v>
      </c>
      <c r="F310" s="13">
        <v>0</v>
      </c>
      <c r="G310" s="14" t="s">
        <v>198</v>
      </c>
    </row>
    <row r="311" spans="1:7" x14ac:dyDescent="0.25">
      <c r="A311" s="34" t="str">
        <f>"6450 TAPA MORRO 64B47"</f>
        <v>6450 TAPA MORRO 64B47</v>
      </c>
      <c r="B311" s="2">
        <v>21</v>
      </c>
      <c r="C311" s="2">
        <v>1</v>
      </c>
      <c r="D311" s="11" t="str">
        <f t="shared" si="13"/>
        <v>UN</v>
      </c>
      <c r="E311" s="12">
        <v>25.781249999999996</v>
      </c>
      <c r="F311" s="13">
        <v>0</v>
      </c>
      <c r="G311" s="14" t="s">
        <v>198</v>
      </c>
    </row>
    <row r="312" spans="1:7" x14ac:dyDescent="0.25">
      <c r="A312" s="34" t="str">
        <f>"6452 MORRO 64B49"</f>
        <v>6452 MORRO 64B49</v>
      </c>
      <c r="B312" s="2">
        <v>21</v>
      </c>
      <c r="C312" s="2">
        <v>7</v>
      </c>
      <c r="D312" s="11" t="str">
        <f t="shared" si="13"/>
        <v>UN</v>
      </c>
      <c r="E312" s="12">
        <v>753.9262500000001</v>
      </c>
      <c r="F312" s="13">
        <v>0</v>
      </c>
      <c r="G312" s="14" t="s">
        <v>198</v>
      </c>
    </row>
    <row r="313" spans="1:7" x14ac:dyDescent="0.25">
      <c r="A313" s="34" t="str">
        <f>"6454 EMPUJADOR 64B44"</f>
        <v>6454 EMPUJADOR 64B44</v>
      </c>
      <c r="B313" s="2">
        <v>21</v>
      </c>
      <c r="C313" s="2">
        <v>1</v>
      </c>
      <c r="D313" s="11" t="str">
        <f t="shared" si="13"/>
        <v>UN</v>
      </c>
      <c r="E313" s="12">
        <v>34.938750000000006</v>
      </c>
      <c r="F313" s="13">
        <v>0</v>
      </c>
      <c r="G313" s="14" t="s">
        <v>198</v>
      </c>
    </row>
    <row r="314" spans="1:7" x14ac:dyDescent="0.25">
      <c r="A314" s="34" t="str">
        <f>"6455  PIN 64B43"</f>
        <v>6455  PIN 64B43</v>
      </c>
      <c r="B314" s="2">
        <v>21</v>
      </c>
      <c r="C314" s="2">
        <v>10</v>
      </c>
      <c r="D314" s="11" t="str">
        <f t="shared" si="13"/>
        <v>UN</v>
      </c>
      <c r="E314" s="12">
        <v>18.5625</v>
      </c>
      <c r="F314" s="13">
        <v>0</v>
      </c>
      <c r="G314" s="14" t="s">
        <v>198</v>
      </c>
    </row>
    <row r="315" spans="1:7" x14ac:dyDescent="0.25">
      <c r="A315" s="34" t="str">
        <f>"6456 MUELLE 64B46"</f>
        <v>6456 MUELLE 64B46</v>
      </c>
      <c r="B315" s="2">
        <v>21</v>
      </c>
      <c r="C315" s="2">
        <v>5</v>
      </c>
      <c r="D315" s="11" t="str">
        <f t="shared" si="13"/>
        <v>UN</v>
      </c>
      <c r="E315" s="12">
        <v>41.73125000000001</v>
      </c>
      <c r="F315" s="13">
        <v>0</v>
      </c>
      <c r="G315" s="14" t="s">
        <v>198</v>
      </c>
    </row>
    <row r="316" spans="1:7" x14ac:dyDescent="0.25">
      <c r="A316" s="34" t="str">
        <f>"6457 PASADOR 64B41"</f>
        <v>6457 PASADOR 64B41</v>
      </c>
      <c r="B316" s="2">
        <v>21</v>
      </c>
      <c r="C316" s="2">
        <v>10</v>
      </c>
      <c r="D316" s="11" t="str">
        <f t="shared" si="13"/>
        <v>UN</v>
      </c>
      <c r="E316" s="12">
        <v>20.9</v>
      </c>
      <c r="F316" s="13">
        <v>0</v>
      </c>
      <c r="G316" s="14" t="s">
        <v>198</v>
      </c>
    </row>
    <row r="317" spans="1:7" x14ac:dyDescent="0.25">
      <c r="A317" s="34" t="str">
        <f>"6458 PISTA 64B42"</f>
        <v>6458 PISTA 64B42</v>
      </c>
      <c r="B317" s="2">
        <v>21</v>
      </c>
      <c r="C317" s="2">
        <v>1</v>
      </c>
      <c r="D317" s="11" t="str">
        <f t="shared" si="13"/>
        <v>UN</v>
      </c>
      <c r="E317" s="12">
        <v>53.267500000000005</v>
      </c>
      <c r="F317" s="13">
        <v>0</v>
      </c>
      <c r="G317" s="14" t="s">
        <v>198</v>
      </c>
    </row>
    <row r="318" spans="1:7" x14ac:dyDescent="0.25">
      <c r="A318" s="34" t="str">
        <f>"6459 TIRADOR PISTA 64B52"</f>
        <v>6459 TIRADOR PISTA 64B52</v>
      </c>
      <c r="B318" s="2">
        <v>21</v>
      </c>
      <c r="C318" s="2">
        <v>2</v>
      </c>
      <c r="D318" s="11" t="str">
        <f t="shared" si="13"/>
        <v>UN</v>
      </c>
      <c r="E318" s="12">
        <v>32.532500000000006</v>
      </c>
      <c r="F318" s="13">
        <v>0</v>
      </c>
      <c r="G318" s="14" t="s">
        <v>198</v>
      </c>
    </row>
    <row r="319" spans="1:7" x14ac:dyDescent="0.25">
      <c r="A319" s="34" t="str">
        <f>"6460 GROVER 64B56"</f>
        <v>6460 GROVER 64B56</v>
      </c>
      <c r="B319" s="2">
        <v>21</v>
      </c>
      <c r="C319" s="2">
        <v>9</v>
      </c>
      <c r="D319" s="11" t="str">
        <f t="shared" si="13"/>
        <v>UN</v>
      </c>
      <c r="E319" s="12">
        <v>16.706250000000001</v>
      </c>
      <c r="F319" s="13">
        <v>0</v>
      </c>
      <c r="G319" s="14" t="s">
        <v>198</v>
      </c>
    </row>
    <row r="320" spans="1:7" x14ac:dyDescent="0.25">
      <c r="A320" s="34" t="str">
        <f>"6461 TORNILLO 64B53"</f>
        <v>6461 TORNILLO 64B53</v>
      </c>
      <c r="B320" s="2">
        <v>21</v>
      </c>
      <c r="C320" s="2">
        <v>8</v>
      </c>
      <c r="D320" s="11" t="str">
        <f t="shared" si="13"/>
        <v>UN</v>
      </c>
      <c r="E320" s="12">
        <v>39.710000000000008</v>
      </c>
      <c r="F320" s="13">
        <v>0</v>
      </c>
      <c r="G320" s="14" t="s">
        <v>198</v>
      </c>
    </row>
    <row r="321" spans="1:7" x14ac:dyDescent="0.25">
      <c r="A321" s="34" t="str">
        <f>"662011= SPINA 4 X 26"</f>
        <v>662011= SPINA 4 X 26</v>
      </c>
      <c r="B321" s="2">
        <v>21</v>
      </c>
      <c r="C321" s="2">
        <v>9</v>
      </c>
      <c r="D321" s="11" t="str">
        <f t="shared" si="13"/>
        <v>UN</v>
      </c>
      <c r="E321" s="12">
        <v>33.288750000000007</v>
      </c>
      <c r="F321" s="13">
        <v>0</v>
      </c>
      <c r="G321" s="14" t="s">
        <v>198</v>
      </c>
    </row>
    <row r="322" spans="1:7" x14ac:dyDescent="0.25">
      <c r="A322" s="34" t="str">
        <f>"666008= NC.X1""1/2"</f>
        <v>666008= NC.X1"1/2</v>
      </c>
      <c r="B322" s="2">
        <v>21</v>
      </c>
      <c r="C322" s="2">
        <v>29</v>
      </c>
      <c r="D322" s="11" t="str">
        <f t="shared" si="13"/>
        <v>UN</v>
      </c>
      <c r="E322" s="12">
        <v>173.45624999999998</v>
      </c>
      <c r="F322" s="13">
        <v>0</v>
      </c>
      <c r="G322" s="14" t="s">
        <v>198</v>
      </c>
    </row>
    <row r="323" spans="1:7" x14ac:dyDescent="0.25">
      <c r="A323" s="34" t="str">
        <f>"70005 - 78010 MANGO HZ 3535"</f>
        <v>70005 - 78010 MANGO HZ 3535</v>
      </c>
      <c r="B323" s="2">
        <v>21</v>
      </c>
      <c r="C323" s="2">
        <v>5</v>
      </c>
      <c r="D323" s="11" t="str">
        <f t="shared" si="13"/>
        <v>UN</v>
      </c>
      <c r="E323" s="12">
        <v>83.531250000000014</v>
      </c>
      <c r="F323" s="13">
        <v>0</v>
      </c>
      <c r="G323" s="14" t="s">
        <v>198</v>
      </c>
    </row>
    <row r="324" spans="1:7" x14ac:dyDescent="0.25">
      <c r="A324" s="34" t="str">
        <f>"70005 JUNTA HZ 3536"</f>
        <v>70005 JUNTA HZ 3536</v>
      </c>
      <c r="B324" s="2">
        <v>21</v>
      </c>
      <c r="C324" s="2">
        <v>13</v>
      </c>
      <c r="D324" s="11" t="str">
        <f t="shared" si="13"/>
        <v>UN</v>
      </c>
      <c r="E324" s="12">
        <v>31.817500000000003</v>
      </c>
      <c r="F324" s="13">
        <v>0</v>
      </c>
      <c r="G324" s="14" t="s">
        <v>198</v>
      </c>
    </row>
    <row r="325" spans="1:7" x14ac:dyDescent="0.25">
      <c r="A325" s="34" t="str">
        <f>"70951 = 140.103"</f>
        <v>70951 = 140.103</v>
      </c>
      <c r="B325" s="2">
        <v>21</v>
      </c>
      <c r="C325" s="2">
        <v>1</v>
      </c>
      <c r="D325" s="11" t="str">
        <f t="shared" si="13"/>
        <v>UN</v>
      </c>
      <c r="E325" s="12">
        <v>50.393750000000004</v>
      </c>
      <c r="F325" s="13">
        <v>0</v>
      </c>
      <c r="G325" s="14" t="s">
        <v>198</v>
      </c>
    </row>
    <row r="326" spans="1:7" x14ac:dyDescent="0.25">
      <c r="A326" s="34" t="str">
        <f>"83004 MUELLE SA-MG30 = N2217"</f>
        <v>83004 MUELLE SA-MG30 = N2217</v>
      </c>
      <c r="B326" s="2">
        <v>21</v>
      </c>
      <c r="C326" s="2">
        <v>10</v>
      </c>
      <c r="D326" s="11" t="str">
        <f t="shared" si="13"/>
        <v>UN</v>
      </c>
      <c r="E326" s="12">
        <v>18.5625</v>
      </c>
      <c r="F326" s="13">
        <v>0</v>
      </c>
      <c r="G326" s="14" t="s">
        <v>198</v>
      </c>
    </row>
    <row r="327" spans="1:7" x14ac:dyDescent="0.25">
      <c r="A327" s="34" t="str">
        <f>"A414D CAMISA SA PT840"</f>
        <v>A414D CAMISA SA PT840</v>
      </c>
      <c r="B327" s="2">
        <v>21</v>
      </c>
      <c r="C327" s="2">
        <v>2</v>
      </c>
      <c r="D327" s="11" t="str">
        <f t="shared" si="13"/>
        <v>UN</v>
      </c>
      <c r="E327" s="12">
        <v>57.475000000000001</v>
      </c>
      <c r="F327" s="13">
        <v>0</v>
      </c>
      <c r="G327" s="14" t="s">
        <v>198</v>
      </c>
    </row>
    <row r="328" spans="1:7" x14ac:dyDescent="0.25">
      <c r="A328" s="34" t="str">
        <f>"AB0029  FRENO L-M-P-S"</f>
        <v>AB0029  FRENO L-M-P-S</v>
      </c>
      <c r="B328" s="2">
        <v>21</v>
      </c>
      <c r="C328" s="2">
        <v>5</v>
      </c>
      <c r="D328" s="11" t="str">
        <f t="shared" si="13"/>
        <v>UN</v>
      </c>
      <c r="E328" s="12">
        <v>10.45</v>
      </c>
      <c r="F328" s="13">
        <v>0</v>
      </c>
      <c r="G328" s="14" t="s">
        <v>198</v>
      </c>
    </row>
    <row r="329" spans="1:7" x14ac:dyDescent="0.25">
      <c r="A329" s="34" t="str">
        <f>"ABRAZADERA SAPA 13-15"</f>
        <v>ABRAZADERA SAPA 13-15</v>
      </c>
      <c r="B329" s="2">
        <v>21</v>
      </c>
      <c r="C329" s="2">
        <v>22</v>
      </c>
      <c r="D329" s="11" t="str">
        <f t="shared" si="13"/>
        <v>UN</v>
      </c>
      <c r="E329" s="12">
        <v>40.837500000000006</v>
      </c>
      <c r="F329" s="13">
        <v>0</v>
      </c>
      <c r="G329" s="14" t="s">
        <v>198</v>
      </c>
    </row>
    <row r="330" spans="1:7" x14ac:dyDescent="0.25">
      <c r="A330" s="34" t="str">
        <f>"ABRAZADERAS SAPA 15-18"</f>
        <v>ABRAZADERAS SAPA 15-18</v>
      </c>
      <c r="B330" s="2">
        <v>21</v>
      </c>
      <c r="C330" s="2">
        <v>20</v>
      </c>
      <c r="D330" s="11" t="str">
        <f t="shared" ref="D330:D393" si="14">"UN"</f>
        <v>UN</v>
      </c>
      <c r="E330" s="12">
        <v>37.125</v>
      </c>
      <c r="F330" s="13">
        <v>0</v>
      </c>
      <c r="G330" s="14" t="s">
        <v>198</v>
      </c>
    </row>
    <row r="331" spans="1:7" x14ac:dyDescent="0.25">
      <c r="A331" s="34" t="str">
        <f>"ABRAZADERAS SAPA 17-20"</f>
        <v>ABRAZADERAS SAPA 17-20</v>
      </c>
      <c r="B331" s="2">
        <v>21</v>
      </c>
      <c r="C331" s="2">
        <v>20</v>
      </c>
      <c r="D331" s="11" t="str">
        <f t="shared" si="14"/>
        <v>UN</v>
      </c>
      <c r="E331" s="12">
        <v>37.950000000000003</v>
      </c>
      <c r="F331" s="13">
        <v>0</v>
      </c>
      <c r="G331" s="14" t="s">
        <v>198</v>
      </c>
    </row>
    <row r="332" spans="1:7" x14ac:dyDescent="0.25">
      <c r="A332" s="34" t="str">
        <f>"AC0113  TAPON CONEX.SJS"</f>
        <v>AC0113  TAPON CONEX.SJS</v>
      </c>
      <c r="B332" s="2">
        <v>21</v>
      </c>
      <c r="C332" s="2">
        <v>2</v>
      </c>
      <c r="D332" s="11" t="str">
        <f t="shared" si="14"/>
        <v>UN</v>
      </c>
      <c r="E332" s="12">
        <v>31.157500000000002</v>
      </c>
      <c r="F332" s="13">
        <v>0</v>
      </c>
      <c r="G332" s="14" t="s">
        <v>198</v>
      </c>
    </row>
    <row r="333" spans="1:7" x14ac:dyDescent="0.25">
      <c r="A333" s="34" t="str">
        <f>"AC0226 JUNTA CABEZA FP41XP"</f>
        <v>AC0226 JUNTA CABEZA FP41XP</v>
      </c>
      <c r="B333" s="2">
        <v>21</v>
      </c>
      <c r="C333" s="2">
        <v>9</v>
      </c>
      <c r="D333" s="11" t="str">
        <f t="shared" si="14"/>
        <v>UN</v>
      </c>
      <c r="E333" s="12">
        <v>135.13499999999999</v>
      </c>
      <c r="F333" s="13">
        <v>0</v>
      </c>
      <c r="G333" s="14" t="s">
        <v>198</v>
      </c>
    </row>
    <row r="334" spans="1:7" x14ac:dyDescent="0.25">
      <c r="A334" s="34" t="str">
        <f>"ACOPLAMIENTO"</f>
        <v>ACOPLAMIENTO</v>
      </c>
      <c r="B334" s="2">
        <v>21</v>
      </c>
      <c r="C334" s="2">
        <v>18</v>
      </c>
      <c r="D334" s="11" t="str">
        <f t="shared" si="14"/>
        <v>UN</v>
      </c>
      <c r="E334" s="12">
        <v>62.370000000000012</v>
      </c>
      <c r="F334" s="13">
        <v>0</v>
      </c>
      <c r="G334" s="14" t="s">
        <v>198</v>
      </c>
    </row>
    <row r="335" spans="1:7" x14ac:dyDescent="0.25">
      <c r="A335" s="34" t="str">
        <f>"ARANDELA"</f>
        <v>ARANDELA</v>
      </c>
      <c r="B335" s="2">
        <v>21</v>
      </c>
      <c r="C335" s="2">
        <v>20</v>
      </c>
      <c r="D335" s="11" t="str">
        <f t="shared" si="14"/>
        <v>UN</v>
      </c>
      <c r="E335" s="12">
        <v>307.45</v>
      </c>
      <c r="F335" s="13">
        <v>0</v>
      </c>
      <c r="G335" s="14" t="s">
        <v>198</v>
      </c>
    </row>
    <row r="336" spans="1:7" x14ac:dyDescent="0.25">
      <c r="A336" s="34" t="str">
        <f>"B024D MORRO SA PT840"</f>
        <v>B024D MORRO SA PT840</v>
      </c>
      <c r="B336" s="2">
        <v>21</v>
      </c>
      <c r="C336" s="2">
        <v>1</v>
      </c>
      <c r="D336" s="11" t="str">
        <f t="shared" si="14"/>
        <v>UN</v>
      </c>
      <c r="E336" s="12">
        <v>0</v>
      </c>
      <c r="F336" s="13">
        <v>0</v>
      </c>
      <c r="G336" s="14" t="s">
        <v>198</v>
      </c>
    </row>
    <row r="337" spans="1:7" x14ac:dyDescent="0.25">
      <c r="A337" s="34" t="str">
        <f>"B26491 EMPUJADOR Nº 53 SA PT840"</f>
        <v>B26491 EMPUJADOR Nº 53 SA PT840</v>
      </c>
      <c r="B337" s="2">
        <v>21</v>
      </c>
      <c r="C337" s="2">
        <v>1</v>
      </c>
      <c r="D337" s="11" t="str">
        <f t="shared" si="14"/>
        <v>UN</v>
      </c>
      <c r="E337" s="12">
        <v>1.8562500000000004</v>
      </c>
      <c r="F337" s="13">
        <v>0</v>
      </c>
      <c r="G337" s="14" t="s">
        <v>198</v>
      </c>
    </row>
    <row r="338" spans="1:7" x14ac:dyDescent="0.25">
      <c r="A338" s="34" t="str">
        <f>"B26492 EMPUJADOR Nº54 SA PT840"</f>
        <v>B26492 EMPUJADOR Nº54 SA PT840</v>
      </c>
      <c r="B338" s="2">
        <v>21</v>
      </c>
      <c r="C338" s="2">
        <v>1</v>
      </c>
      <c r="D338" s="11" t="str">
        <f t="shared" si="14"/>
        <v>UN</v>
      </c>
      <c r="E338" s="12">
        <v>2.0900000000000003</v>
      </c>
      <c r="F338" s="13">
        <v>0</v>
      </c>
      <c r="G338" s="14" t="s">
        <v>198</v>
      </c>
    </row>
    <row r="339" spans="1:7" x14ac:dyDescent="0.25">
      <c r="A339" s="34" t="str">
        <f>"B6149 EMPUJADOR Nº56 SA PT840"</f>
        <v>B6149 EMPUJADOR Nº56 SA PT840</v>
      </c>
      <c r="B339" s="2">
        <v>21</v>
      </c>
      <c r="C339" s="2">
        <v>1</v>
      </c>
      <c r="D339" s="11" t="str">
        <f t="shared" si="14"/>
        <v>UN</v>
      </c>
      <c r="E339" s="12">
        <v>5.5412500000000007</v>
      </c>
      <c r="F339" s="13">
        <v>0</v>
      </c>
      <c r="G339" s="14" t="s">
        <v>198</v>
      </c>
    </row>
    <row r="340" spans="1:7" x14ac:dyDescent="0.25">
      <c r="A340" s="34" t="str">
        <f>"B674D TOPE EMPUJADOR Nº52 SA PT840"</f>
        <v>B674D TOPE EMPUJADOR Nº52 SA PT840</v>
      </c>
      <c r="B340" s="2">
        <v>21</v>
      </c>
      <c r="C340" s="2">
        <v>3</v>
      </c>
      <c r="D340" s="11" t="str">
        <f t="shared" si="14"/>
        <v>UN</v>
      </c>
      <c r="E340" s="12">
        <v>23.471250000000001</v>
      </c>
      <c r="F340" s="13">
        <v>0</v>
      </c>
      <c r="G340" s="14" t="s">
        <v>198</v>
      </c>
    </row>
    <row r="341" spans="1:7" x14ac:dyDescent="0.25">
      <c r="A341" s="34" t="str">
        <f>"BA0003  VALVU. CABEZA PW"</f>
        <v>BA0003  VALVU. CABEZA PW</v>
      </c>
      <c r="B341" s="2">
        <v>21</v>
      </c>
      <c r="C341" s="2">
        <v>2</v>
      </c>
      <c r="D341" s="11" t="str">
        <f t="shared" si="14"/>
        <v>UN</v>
      </c>
      <c r="E341" s="12">
        <v>79.034999999999997</v>
      </c>
      <c r="F341" s="13">
        <v>0</v>
      </c>
      <c r="G341" s="14" t="s">
        <v>198</v>
      </c>
    </row>
    <row r="342" spans="1:7" x14ac:dyDescent="0.25">
      <c r="A342" s="34" t="str">
        <f>"BA0039  PISTON SUPERI. F"</f>
        <v>BA0039  PISTON SUPERI. F</v>
      </c>
      <c r="B342" s="2">
        <v>21</v>
      </c>
      <c r="C342" s="2">
        <v>2</v>
      </c>
      <c r="D342" s="11" t="str">
        <f t="shared" si="14"/>
        <v>UN</v>
      </c>
      <c r="E342" s="12">
        <v>84.892500000000013</v>
      </c>
      <c r="F342" s="13">
        <v>0</v>
      </c>
      <c r="G342" s="14" t="s">
        <v>198</v>
      </c>
    </row>
    <row r="343" spans="1:7" x14ac:dyDescent="0.25">
      <c r="A343" s="34" t="str">
        <f>"BA0040  SEPARADOR F"</f>
        <v>BA0040  SEPARADOR F</v>
      </c>
      <c r="B343" s="2">
        <v>21</v>
      </c>
      <c r="C343" s="2">
        <v>1</v>
      </c>
      <c r="D343" s="11" t="str">
        <f t="shared" si="14"/>
        <v>UN</v>
      </c>
      <c r="E343" s="12">
        <v>20.99625</v>
      </c>
      <c r="F343" s="13">
        <v>0</v>
      </c>
      <c r="G343" s="14" t="s">
        <v>198</v>
      </c>
    </row>
    <row r="344" spans="1:7" x14ac:dyDescent="0.25">
      <c r="A344" s="34" t="str">
        <f>"BA0071  CABEZA PW"</f>
        <v>BA0071  CABEZA PW</v>
      </c>
      <c r="B344" s="2">
        <v>21</v>
      </c>
      <c r="C344" s="2">
        <v>1</v>
      </c>
      <c r="D344" s="11" t="str">
        <f t="shared" si="14"/>
        <v>UN</v>
      </c>
      <c r="E344" s="12">
        <v>70.496250000000003</v>
      </c>
      <c r="F344" s="13">
        <v>0</v>
      </c>
      <c r="G344" s="14" t="s">
        <v>198</v>
      </c>
    </row>
    <row r="345" spans="1:7" x14ac:dyDescent="0.25">
      <c r="A345" s="34" t="str">
        <f>"BA0083  VASTAGO CABEZA L"</f>
        <v>BA0083  VASTAGO CABEZA L</v>
      </c>
      <c r="B345" s="2">
        <v>21</v>
      </c>
      <c r="C345" s="2">
        <v>11</v>
      </c>
      <c r="D345" s="11" t="str">
        <f t="shared" si="14"/>
        <v>UN</v>
      </c>
      <c r="E345" s="12">
        <v>209.48124999999999</v>
      </c>
      <c r="F345" s="13">
        <v>0</v>
      </c>
      <c r="G345" s="14" t="s">
        <v>198</v>
      </c>
    </row>
    <row r="346" spans="1:7" x14ac:dyDescent="0.25">
      <c r="A346" s="34" t="str">
        <f>"BA0092  CILINDRO J"</f>
        <v>BA0092  CILINDRO J</v>
      </c>
      <c r="B346" s="2">
        <v>21</v>
      </c>
      <c r="C346" s="2">
        <v>30</v>
      </c>
      <c r="D346" s="11" t="str">
        <f t="shared" si="14"/>
        <v>UN</v>
      </c>
      <c r="E346" s="12">
        <v>505.72500000000008</v>
      </c>
      <c r="F346" s="13">
        <v>0</v>
      </c>
      <c r="G346" s="14" t="s">
        <v>198</v>
      </c>
    </row>
    <row r="347" spans="1:7" x14ac:dyDescent="0.25">
      <c r="A347" s="34" t="str">
        <f>"BA0101"</f>
        <v>BA0101</v>
      </c>
      <c r="B347" s="2">
        <v>21</v>
      </c>
      <c r="C347" s="2">
        <v>3</v>
      </c>
      <c r="D347" s="11" t="str">
        <f t="shared" si="14"/>
        <v>UN</v>
      </c>
      <c r="E347" s="12">
        <v>694.03125000000023</v>
      </c>
      <c r="F347" s="13">
        <v>0</v>
      </c>
      <c r="G347" s="14" t="s">
        <v>198</v>
      </c>
    </row>
    <row r="348" spans="1:7" x14ac:dyDescent="0.25">
      <c r="A348" s="34" t="str">
        <f>"BA0112 SFN 40"</f>
        <v>BA0112 SFN 40</v>
      </c>
      <c r="B348" s="2">
        <v>21</v>
      </c>
      <c r="C348" s="2">
        <v>4</v>
      </c>
      <c r="D348" s="11" t="str">
        <f t="shared" si="14"/>
        <v>UN</v>
      </c>
      <c r="E348" s="12">
        <v>161.095</v>
      </c>
      <c r="F348" s="13">
        <v>0</v>
      </c>
      <c r="G348" s="14" t="s">
        <v>198</v>
      </c>
    </row>
    <row r="349" spans="1:7" x14ac:dyDescent="0.25">
      <c r="A349" s="34" t="str">
        <f>"BA0132 CABEZA M"</f>
        <v>BA0132 CABEZA M</v>
      </c>
      <c r="B349" s="2">
        <v>21</v>
      </c>
      <c r="C349" s="2">
        <v>1</v>
      </c>
      <c r="D349" s="11" t="str">
        <f t="shared" si="14"/>
        <v>UN</v>
      </c>
      <c r="E349" s="12">
        <v>55.330000000000005</v>
      </c>
      <c r="F349" s="13">
        <v>0</v>
      </c>
      <c r="G349" s="14" t="s">
        <v>198</v>
      </c>
    </row>
    <row r="350" spans="1:7" x14ac:dyDescent="0.25">
      <c r="A350" s="34" t="str">
        <f>"BA0134 VALVULA SFN30"</f>
        <v>BA0134 VALVULA SFN30</v>
      </c>
      <c r="B350" s="2">
        <v>21</v>
      </c>
      <c r="C350" s="2">
        <v>2</v>
      </c>
      <c r="D350" s="11" t="str">
        <f t="shared" si="14"/>
        <v>UN</v>
      </c>
      <c r="E350" s="12">
        <v>119.15750000000003</v>
      </c>
      <c r="F350" s="13">
        <v>0</v>
      </c>
      <c r="G350" s="14" t="s">
        <v>198</v>
      </c>
    </row>
    <row r="351" spans="1:7" x14ac:dyDescent="0.25">
      <c r="A351" s="34" t="str">
        <f>"BA0142 VALVULA SLS25"</f>
        <v>BA0142 VALVULA SLS25</v>
      </c>
      <c r="B351" s="2">
        <v>21</v>
      </c>
      <c r="C351" s="2">
        <v>1</v>
      </c>
      <c r="D351" s="11" t="str">
        <f t="shared" si="14"/>
        <v>UN</v>
      </c>
      <c r="E351" s="12">
        <v>50.6</v>
      </c>
      <c r="F351" s="13">
        <v>0</v>
      </c>
      <c r="G351" s="14" t="s">
        <v>198</v>
      </c>
    </row>
    <row r="352" spans="1:7" x14ac:dyDescent="0.25">
      <c r="A352" s="34" t="str">
        <f>"BASE CIERRE PIST."</f>
        <v>BASE CIERRE PIST.</v>
      </c>
      <c r="B352" s="2">
        <v>21</v>
      </c>
      <c r="C352" s="2">
        <v>2</v>
      </c>
      <c r="D352" s="11" t="str">
        <f t="shared" si="14"/>
        <v>UN</v>
      </c>
      <c r="E352" s="12">
        <v>16.307499999999997</v>
      </c>
      <c r="F352" s="13">
        <v>0</v>
      </c>
      <c r="G352" s="14" t="s">
        <v>198</v>
      </c>
    </row>
    <row r="353" spans="1:7" x14ac:dyDescent="0.25">
      <c r="A353" s="34" t="str">
        <f>"BASE DE AJUSTE"</f>
        <v>BASE DE AJUSTE</v>
      </c>
      <c r="B353" s="2">
        <v>21</v>
      </c>
      <c r="C353" s="2">
        <v>1</v>
      </c>
      <c r="D353" s="11" t="str">
        <f t="shared" si="14"/>
        <v>UN</v>
      </c>
      <c r="E353" s="12">
        <v>19.923750000000005</v>
      </c>
      <c r="F353" s="13">
        <v>0</v>
      </c>
      <c r="G353" s="14" t="s">
        <v>198</v>
      </c>
    </row>
    <row r="354" spans="1:7" x14ac:dyDescent="0.25">
      <c r="A354" s="34" t="str">
        <f>"BB0035  TAPON CABEZA F"</f>
        <v>BB0035  TAPON CABEZA F</v>
      </c>
      <c r="B354" s="2">
        <v>21</v>
      </c>
      <c r="C354" s="2">
        <v>2</v>
      </c>
      <c r="D354" s="11" t="str">
        <f t="shared" si="14"/>
        <v>UN</v>
      </c>
      <c r="E354" s="12">
        <v>109.58750000000002</v>
      </c>
      <c r="F354" s="13">
        <v>0</v>
      </c>
      <c r="G354" s="14" t="s">
        <v>198</v>
      </c>
    </row>
    <row r="355" spans="1:7" x14ac:dyDescent="0.25">
      <c r="A355" s="34" t="str">
        <f>"BB0038  ASIENTO L"</f>
        <v>BB0038  ASIENTO L</v>
      </c>
      <c r="B355" s="2">
        <v>21</v>
      </c>
      <c r="C355" s="2">
        <v>8</v>
      </c>
      <c r="D355" s="11" t="str">
        <f t="shared" si="14"/>
        <v>UN</v>
      </c>
      <c r="E355" s="12">
        <v>141.35000000000002</v>
      </c>
      <c r="F355" s="13">
        <v>0</v>
      </c>
      <c r="G355" s="14" t="s">
        <v>198</v>
      </c>
    </row>
    <row r="356" spans="1:7" x14ac:dyDescent="0.25">
      <c r="A356" s="34" t="str">
        <f>"BB0057  DEFLEC.SN-4 M-IV"</f>
        <v>BB0057  DEFLEC.SN-4 M-IV</v>
      </c>
      <c r="B356" s="2">
        <v>21</v>
      </c>
      <c r="C356" s="2">
        <v>1</v>
      </c>
      <c r="D356" s="11" t="str">
        <f t="shared" si="14"/>
        <v>UN</v>
      </c>
      <c r="E356" s="12">
        <v>11.22</v>
      </c>
      <c r="F356" s="13">
        <v>0</v>
      </c>
      <c r="G356" s="14" t="s">
        <v>198</v>
      </c>
    </row>
    <row r="357" spans="1:7" x14ac:dyDescent="0.25">
      <c r="A357" s="34" t="str">
        <f>"BB0067  VALVULA PW"</f>
        <v>BB0067  VALVULA PW</v>
      </c>
      <c r="B357" s="2">
        <v>21</v>
      </c>
      <c r="C357" s="2">
        <v>1</v>
      </c>
      <c r="D357" s="11" t="str">
        <f t="shared" si="14"/>
        <v>UN</v>
      </c>
      <c r="E357" s="12">
        <v>24.791250000000005</v>
      </c>
      <c r="F357" s="13">
        <v>0</v>
      </c>
      <c r="G357" s="14" t="s">
        <v>198</v>
      </c>
    </row>
    <row r="358" spans="1:7" x14ac:dyDescent="0.25">
      <c r="A358" s="34" t="str">
        <f>"BB0070  VALVULA K,L"</f>
        <v>BB0070  VALVULA K,L</v>
      </c>
      <c r="B358" s="2">
        <v>21</v>
      </c>
      <c r="C358" s="2">
        <v>4</v>
      </c>
      <c r="D358" s="11" t="str">
        <f t="shared" si="14"/>
        <v>UN</v>
      </c>
      <c r="E358" s="12">
        <v>32.175000000000004</v>
      </c>
      <c r="F358" s="13">
        <v>0</v>
      </c>
      <c r="G358" s="14" t="s">
        <v>198</v>
      </c>
    </row>
    <row r="359" spans="1:7" x14ac:dyDescent="0.25">
      <c r="A359" s="34" t="str">
        <f>"BB0081  DEFLECTOR L"</f>
        <v>BB0081  DEFLECTOR L</v>
      </c>
      <c r="B359" s="2">
        <v>21</v>
      </c>
      <c r="C359" s="2">
        <v>4</v>
      </c>
      <c r="D359" s="11" t="str">
        <f t="shared" si="14"/>
        <v>UN</v>
      </c>
      <c r="E359" s="12">
        <v>38.72</v>
      </c>
      <c r="F359" s="13">
        <v>0</v>
      </c>
      <c r="G359" s="14" t="s">
        <v>198</v>
      </c>
    </row>
    <row r="360" spans="1:7" x14ac:dyDescent="0.25">
      <c r="A360" s="34" t="str">
        <f>"BB0086  PLACA-PW"</f>
        <v>BB0086  PLACA-PW</v>
      </c>
      <c r="B360" s="2">
        <v>21</v>
      </c>
      <c r="C360" s="2">
        <v>1</v>
      </c>
      <c r="D360" s="11" t="str">
        <f t="shared" si="14"/>
        <v>UN</v>
      </c>
      <c r="E360" s="12">
        <v>9.4875000000000007</v>
      </c>
      <c r="F360" s="13">
        <v>0</v>
      </c>
      <c r="G360" s="14" t="s">
        <v>198</v>
      </c>
    </row>
    <row r="361" spans="1:7" x14ac:dyDescent="0.25">
      <c r="A361" s="34" t="str">
        <f>"BB0103  VAL.FIJA CAB.SN4"</f>
        <v>BB0103  VAL.FIJA CAB.SN4</v>
      </c>
      <c r="B361" s="2">
        <v>21</v>
      </c>
      <c r="C361" s="2">
        <v>5</v>
      </c>
      <c r="D361" s="11" t="str">
        <f t="shared" si="14"/>
        <v>UN</v>
      </c>
      <c r="E361" s="12">
        <v>199.78749999999999</v>
      </c>
      <c r="F361" s="13">
        <v>0</v>
      </c>
      <c r="G361" s="14" t="s">
        <v>198</v>
      </c>
    </row>
    <row r="362" spans="1:7" x14ac:dyDescent="0.25">
      <c r="A362" s="34" t="str">
        <f>"BB0122-AC0341EU CABEZ.SLS20"</f>
        <v>BB0122-AC0341EU CABEZ.SLS20</v>
      </c>
      <c r="B362" s="2">
        <v>21</v>
      </c>
      <c r="C362" s="2">
        <v>3</v>
      </c>
      <c r="D362" s="11" t="str">
        <f t="shared" si="14"/>
        <v>UN</v>
      </c>
      <c r="E362" s="12">
        <v>84.06750000000001</v>
      </c>
      <c r="F362" s="13">
        <v>0</v>
      </c>
      <c r="G362" s="14" t="s">
        <v>198</v>
      </c>
    </row>
    <row r="363" spans="1:7" x14ac:dyDescent="0.25">
      <c r="A363" s="34" t="str">
        <f>"BB0151 = BB0107 = BB0073 TOPE PISTON MIV"</f>
        <v>BB0151 = BB0107 = BB0073 TOPE PISTON MIV</v>
      </c>
      <c r="B363" s="2">
        <v>21</v>
      </c>
      <c r="C363" s="2">
        <v>11</v>
      </c>
      <c r="D363" s="11" t="str">
        <f t="shared" si="14"/>
        <v>UN</v>
      </c>
      <c r="E363" s="12">
        <v>322.01124999999996</v>
      </c>
      <c r="F363" s="13">
        <v>0</v>
      </c>
      <c r="G363" s="14" t="s">
        <v>198</v>
      </c>
    </row>
    <row r="364" spans="1:7" x14ac:dyDescent="0.25">
      <c r="A364" s="34" t="str">
        <f>"BB0192 CILINDRO FP 25"</f>
        <v>BB0192 CILINDRO FP 25</v>
      </c>
      <c r="B364" s="2">
        <v>21</v>
      </c>
      <c r="C364" s="2">
        <v>3</v>
      </c>
      <c r="D364" s="11" t="str">
        <f t="shared" si="14"/>
        <v>UN</v>
      </c>
      <c r="E364" s="12">
        <v>201.13500000000002</v>
      </c>
      <c r="F364" s="13">
        <v>0</v>
      </c>
      <c r="G364" s="14" t="s">
        <v>198</v>
      </c>
    </row>
    <row r="365" spans="1:7" x14ac:dyDescent="0.25">
      <c r="A365" s="34" t="str">
        <f>"BC0138  SILENCI.SKS-SFNI"</f>
        <v>BC0138  SILENCI.SKS-SFNI</v>
      </c>
      <c r="B365" s="2">
        <v>21</v>
      </c>
      <c r="C365" s="2">
        <v>15</v>
      </c>
      <c r="D365" s="11" t="str">
        <f t="shared" si="14"/>
        <v>UN</v>
      </c>
      <c r="E365" s="12">
        <v>299.68125000000003</v>
      </c>
      <c r="F365" s="13">
        <v>0</v>
      </c>
      <c r="G365" s="14" t="s">
        <v>198</v>
      </c>
    </row>
    <row r="366" spans="1:7" x14ac:dyDescent="0.25">
      <c r="A366" s="34" t="str">
        <f>"BC0142  CAMISA SJS"</f>
        <v>BC0142  CAMISA SJS</v>
      </c>
      <c r="B366" s="2">
        <v>21</v>
      </c>
      <c r="C366" s="2">
        <v>3</v>
      </c>
      <c r="D366" s="11" t="str">
        <f t="shared" si="14"/>
        <v>UN</v>
      </c>
      <c r="E366" s="12">
        <v>20.212500000000006</v>
      </c>
      <c r="F366" s="13">
        <v>0</v>
      </c>
      <c r="G366" s="14" t="s">
        <v>198</v>
      </c>
    </row>
    <row r="367" spans="1:7" x14ac:dyDescent="0.25">
      <c r="A367" s="34" t="str">
        <f>"BC0322 CAMISA ALUMINIO SLS25"</f>
        <v>BC0322 CAMISA ALUMINIO SLS25</v>
      </c>
      <c r="B367" s="2">
        <v>21</v>
      </c>
      <c r="C367" s="2">
        <v>2</v>
      </c>
      <c r="D367" s="11" t="str">
        <f t="shared" si="14"/>
        <v>UN</v>
      </c>
      <c r="E367" s="12">
        <v>44.13750000000001</v>
      </c>
      <c r="F367" s="13">
        <v>0</v>
      </c>
      <c r="G367" s="14" t="s">
        <v>198</v>
      </c>
    </row>
    <row r="368" spans="1:7" x14ac:dyDescent="0.25">
      <c r="A368" s="34" t="str">
        <f>"BC0328 JUNTA CABEZA SLS25"</f>
        <v>BC0328 JUNTA CABEZA SLS25</v>
      </c>
      <c r="B368" s="2">
        <v>21</v>
      </c>
      <c r="C368" s="2">
        <v>9</v>
      </c>
      <c r="D368" s="11" t="str">
        <f t="shared" si="14"/>
        <v>UN</v>
      </c>
      <c r="E368" s="12">
        <v>84.273750000000007</v>
      </c>
      <c r="F368" s="13">
        <v>0</v>
      </c>
      <c r="G368" s="14" t="s">
        <v>198</v>
      </c>
    </row>
    <row r="369" spans="1:7" x14ac:dyDescent="0.25">
      <c r="A369" s="34" t="str">
        <f>"BC0361 = BC0451 CAMISA FP41XP"</f>
        <v>BC0361 = BC0451 CAMISA FP41XP</v>
      </c>
      <c r="B369" s="2">
        <v>21</v>
      </c>
      <c r="C369" s="2">
        <v>2</v>
      </c>
      <c r="D369" s="11" t="str">
        <f t="shared" si="14"/>
        <v>UN</v>
      </c>
      <c r="E369" s="12">
        <v>108.46</v>
      </c>
      <c r="F369" s="13">
        <v>0</v>
      </c>
      <c r="G369" s="14" t="s">
        <v>198</v>
      </c>
    </row>
    <row r="370" spans="1:7" x14ac:dyDescent="0.25">
      <c r="A370" s="34" t="str">
        <f>"BF0009  ASIE.PI.SKS-SFNI"</f>
        <v>BF0009  ASIE.PI.SKS-SFNI</v>
      </c>
      <c r="B370" s="2">
        <v>21</v>
      </c>
      <c r="C370" s="2">
        <v>9</v>
      </c>
      <c r="D370" s="11" t="str">
        <f t="shared" si="14"/>
        <v>UN</v>
      </c>
      <c r="E370" s="12">
        <v>52.841250000000002</v>
      </c>
      <c r="F370" s="13">
        <v>0</v>
      </c>
      <c r="G370" s="14" t="s">
        <v>198</v>
      </c>
    </row>
    <row r="371" spans="1:7" x14ac:dyDescent="0.25">
      <c r="A371" s="34" t="str">
        <f>"BF0015  ASIEN.TO.PIS.SKS"</f>
        <v>BF0015  ASIEN.TO.PIS.SKS</v>
      </c>
      <c r="B371" s="2">
        <v>21</v>
      </c>
      <c r="C371" s="2">
        <v>8</v>
      </c>
      <c r="D371" s="11" t="str">
        <f t="shared" si="14"/>
        <v>UN</v>
      </c>
      <c r="E371" s="12">
        <v>53.019999999999996</v>
      </c>
      <c r="F371" s="13">
        <v>0</v>
      </c>
      <c r="G371" s="14" t="s">
        <v>198</v>
      </c>
    </row>
    <row r="372" spans="1:7" x14ac:dyDescent="0.25">
      <c r="A372" s="34" t="str">
        <f>"BF0129"</f>
        <v>BF0129</v>
      </c>
      <c r="B372" s="2">
        <v>21</v>
      </c>
      <c r="C372" s="2">
        <v>40</v>
      </c>
      <c r="D372" s="11" t="str">
        <f t="shared" si="14"/>
        <v>UN</v>
      </c>
      <c r="E372" s="12">
        <v>496.09999999999997</v>
      </c>
      <c r="F372" s="13">
        <v>0</v>
      </c>
      <c r="G372" s="14" t="s">
        <v>198</v>
      </c>
    </row>
    <row r="373" spans="1:7" x14ac:dyDescent="0.25">
      <c r="A373" s="34" t="str">
        <f>"BF0199 SELLO"</f>
        <v>BF0199 SELLO</v>
      </c>
      <c r="B373" s="2">
        <v>21</v>
      </c>
      <c r="C373" s="2">
        <v>17</v>
      </c>
      <c r="D373" s="11" t="str">
        <f t="shared" si="14"/>
        <v>UN</v>
      </c>
      <c r="E373" s="12">
        <v>86.487500000000026</v>
      </c>
      <c r="F373" s="13">
        <v>0</v>
      </c>
      <c r="G373" s="14" t="s">
        <v>198</v>
      </c>
    </row>
    <row r="374" spans="1:7" x14ac:dyDescent="0.25">
      <c r="A374" s="34" t="str">
        <f>"BOQUILLA 1,5 MM"</f>
        <v>BOQUILLA 1,5 MM</v>
      </c>
      <c r="B374" s="2">
        <v>21</v>
      </c>
      <c r="C374" s="2">
        <v>1</v>
      </c>
      <c r="D374" s="11" t="str">
        <f t="shared" si="14"/>
        <v>UN</v>
      </c>
      <c r="E374" s="12">
        <v>164.76625000000001</v>
      </c>
      <c r="F374" s="13">
        <v>0</v>
      </c>
      <c r="G374" s="14" t="s">
        <v>198</v>
      </c>
    </row>
    <row r="375" spans="1:7" x14ac:dyDescent="0.25">
      <c r="A375" s="34" t="str">
        <f>"BOQUILLA DEL PESTILLO"</f>
        <v>BOQUILLA DEL PESTILLO</v>
      </c>
      <c r="B375" s="2">
        <v>21</v>
      </c>
      <c r="C375" s="2">
        <v>13</v>
      </c>
      <c r="D375" s="11" t="str">
        <f t="shared" si="14"/>
        <v>UN</v>
      </c>
      <c r="E375" s="12">
        <v>28.778750000000002</v>
      </c>
      <c r="F375" s="13">
        <v>0</v>
      </c>
      <c r="G375" s="14" t="s">
        <v>198</v>
      </c>
    </row>
    <row r="376" spans="1:7" x14ac:dyDescent="0.25">
      <c r="A376" s="34" t="str">
        <f>"CA0019  VASTAGO L"</f>
        <v>CA0019  VASTAGO L</v>
      </c>
      <c r="B376" s="2">
        <v>21</v>
      </c>
      <c r="C376" s="2">
        <v>12</v>
      </c>
      <c r="D376" s="11" t="str">
        <f t="shared" si="14"/>
        <v>UN</v>
      </c>
      <c r="E376" s="12">
        <v>140.08500000000004</v>
      </c>
      <c r="F376" s="13">
        <v>0</v>
      </c>
      <c r="G376" s="14" t="s">
        <v>198</v>
      </c>
    </row>
    <row r="377" spans="1:7" x14ac:dyDescent="0.25">
      <c r="A377" s="34" t="str">
        <f>"CA0032  TAPON INF. J-H"</f>
        <v>CA0032  TAPON INF. J-H</v>
      </c>
      <c r="B377" s="2">
        <v>21</v>
      </c>
      <c r="C377" s="2">
        <v>15</v>
      </c>
      <c r="D377" s="11" t="str">
        <f t="shared" si="14"/>
        <v>UN</v>
      </c>
      <c r="E377" s="12">
        <v>492.31874999999997</v>
      </c>
      <c r="F377" s="13">
        <v>0</v>
      </c>
      <c r="G377" s="14" t="s">
        <v>198</v>
      </c>
    </row>
    <row r="378" spans="1:7" x14ac:dyDescent="0.25">
      <c r="A378" s="34" t="str">
        <f>"CA0042 VALVULA SN2"</f>
        <v>CA0042 VALVULA SN2</v>
      </c>
      <c r="B378" s="2">
        <v>21</v>
      </c>
      <c r="C378" s="2">
        <v>2</v>
      </c>
      <c r="D378" s="11" t="str">
        <f t="shared" si="14"/>
        <v>UN</v>
      </c>
      <c r="E378" s="12">
        <v>80.547499999999999</v>
      </c>
      <c r="F378" s="13">
        <v>0</v>
      </c>
      <c r="G378" s="14" t="s">
        <v>198</v>
      </c>
    </row>
    <row r="379" spans="1:7" x14ac:dyDescent="0.25">
      <c r="A379" s="34" t="str">
        <f>"CA0048  ALOJAMIENTO SN-4"</f>
        <v>CA0048  ALOJAMIENTO SN-4</v>
      </c>
      <c r="B379" s="2">
        <v>21</v>
      </c>
      <c r="C379" s="2">
        <v>10</v>
      </c>
      <c r="D379" s="11" t="str">
        <f t="shared" si="14"/>
        <v>UN</v>
      </c>
      <c r="E379" s="12">
        <v>449.76250000000005</v>
      </c>
      <c r="F379" s="13">
        <v>0</v>
      </c>
      <c r="G379" s="14" t="s">
        <v>198</v>
      </c>
    </row>
    <row r="380" spans="1:7" x14ac:dyDescent="0.25">
      <c r="A380" s="34" t="str">
        <f>"CA0065  ALOJAMIENTO K,L"</f>
        <v>CA0065  ALOJAMIENTO K,L</v>
      </c>
      <c r="B380" s="2">
        <v>21</v>
      </c>
      <c r="C380" s="2">
        <v>4</v>
      </c>
      <c r="D380" s="11" t="str">
        <f t="shared" si="14"/>
        <v>UN</v>
      </c>
      <c r="E380" s="12">
        <v>73.315000000000012</v>
      </c>
      <c r="F380" s="13">
        <v>0</v>
      </c>
      <c r="G380" s="14" t="s">
        <v>198</v>
      </c>
    </row>
    <row r="381" spans="1:7" x14ac:dyDescent="0.25">
      <c r="A381" s="34" t="str">
        <f>"CAMISA"</f>
        <v>CAMISA</v>
      </c>
      <c r="B381" s="2">
        <v>21</v>
      </c>
      <c r="C381" s="2">
        <v>1</v>
      </c>
      <c r="D381" s="11" t="str">
        <f t="shared" si="14"/>
        <v>UN</v>
      </c>
      <c r="E381" s="12">
        <v>18.122500000000002</v>
      </c>
      <c r="F381" s="13">
        <v>0</v>
      </c>
      <c r="G381" s="14" t="s">
        <v>198</v>
      </c>
    </row>
    <row r="382" spans="1:7" x14ac:dyDescent="0.25">
      <c r="A382" s="34" t="str">
        <f>"CB0004  TAPON L Y K"</f>
        <v>CB0004  TAPON L Y K</v>
      </c>
      <c r="B382" s="2">
        <v>21</v>
      </c>
      <c r="C382" s="2">
        <v>5</v>
      </c>
      <c r="D382" s="11" t="str">
        <f t="shared" si="14"/>
        <v>UN</v>
      </c>
      <c r="E382" s="12">
        <v>71.018750000000011</v>
      </c>
      <c r="F382" s="13">
        <v>0</v>
      </c>
      <c r="G382" s="14" t="s">
        <v>198</v>
      </c>
    </row>
    <row r="383" spans="1:7" x14ac:dyDescent="0.25">
      <c r="A383" s="34" t="str">
        <f>"CB0009  SEPARADOR SFN-2"</f>
        <v>CB0009  SEPARADOR SFN-2</v>
      </c>
      <c r="B383" s="2">
        <v>21</v>
      </c>
      <c r="C383" s="2">
        <v>5</v>
      </c>
      <c r="D383" s="11" t="str">
        <f t="shared" si="14"/>
        <v>UN</v>
      </c>
      <c r="E383" s="12">
        <v>71.362499999999997</v>
      </c>
      <c r="F383" s="13">
        <v>0</v>
      </c>
      <c r="G383" s="14" t="s">
        <v>198</v>
      </c>
    </row>
    <row r="384" spans="1:7" x14ac:dyDescent="0.25">
      <c r="A384" s="34" t="str">
        <f>"CB0010  ACOPLAMIENTO SN-"</f>
        <v>CB0010  ACOPLAMIENTO SN-</v>
      </c>
      <c r="B384" s="2">
        <v>21</v>
      </c>
      <c r="C384" s="2">
        <v>4</v>
      </c>
      <c r="D384" s="11" t="str">
        <f t="shared" si="14"/>
        <v>UN</v>
      </c>
      <c r="E384" s="12">
        <v>26.18</v>
      </c>
      <c r="F384" s="13">
        <v>0</v>
      </c>
      <c r="G384" s="14" t="s">
        <v>198</v>
      </c>
    </row>
    <row r="385" spans="1:7" x14ac:dyDescent="0.25">
      <c r="A385" s="34" t="str">
        <f>"CC0082  VLAV.ASIENTO-J"</f>
        <v>CC0082  VLAV.ASIENTO-J</v>
      </c>
      <c r="B385" s="2">
        <v>21</v>
      </c>
      <c r="C385" s="2">
        <v>6</v>
      </c>
      <c r="D385" s="11" t="str">
        <f t="shared" si="14"/>
        <v>UN</v>
      </c>
      <c r="E385" s="12">
        <v>79.86</v>
      </c>
      <c r="F385" s="13">
        <v>0</v>
      </c>
      <c r="G385" s="14" t="s">
        <v>198</v>
      </c>
    </row>
    <row r="386" spans="1:7" x14ac:dyDescent="0.25">
      <c r="A386" s="34" t="str">
        <f>"CC0083  PISTON VALVULA J DESCATALOGADO"</f>
        <v>CC0083  PISTON VALVULA J DESCATALOGADO</v>
      </c>
      <c r="B386" s="2">
        <v>21</v>
      </c>
      <c r="C386" s="2">
        <v>6</v>
      </c>
      <c r="D386" s="11" t="str">
        <f t="shared" si="14"/>
        <v>UN</v>
      </c>
      <c r="E386" s="12">
        <v>189.91499999999999</v>
      </c>
      <c r="F386" s="13">
        <v>0</v>
      </c>
      <c r="G386" s="14" t="s">
        <v>198</v>
      </c>
    </row>
    <row r="387" spans="1:7" x14ac:dyDescent="0.25">
      <c r="A387" s="34" t="str">
        <f>"CC0134  PARTE VA.DIS.SJS"</f>
        <v>CC0134  PARTE VA.DIS.SJS</v>
      </c>
      <c r="B387" s="2">
        <v>21</v>
      </c>
      <c r="C387" s="2">
        <v>2</v>
      </c>
      <c r="D387" s="11" t="str">
        <f t="shared" si="14"/>
        <v>UN</v>
      </c>
      <c r="E387" s="12">
        <v>5.8850000000000007</v>
      </c>
      <c r="F387" s="13">
        <v>0</v>
      </c>
      <c r="G387" s="14" t="s">
        <v>198</v>
      </c>
    </row>
    <row r="388" spans="1:7" x14ac:dyDescent="0.25">
      <c r="A388" s="34" t="str">
        <f>"CC0135  PARTE VAL.DI.SJS"</f>
        <v>CC0135  PARTE VAL.DI.SJS</v>
      </c>
      <c r="B388" s="2">
        <v>21</v>
      </c>
      <c r="C388" s="2">
        <v>6</v>
      </c>
      <c r="D388" s="11" t="str">
        <f t="shared" si="14"/>
        <v>UN</v>
      </c>
      <c r="E388" s="12">
        <v>17.654999999999998</v>
      </c>
      <c r="F388" s="13">
        <v>0</v>
      </c>
      <c r="G388" s="14" t="s">
        <v>198</v>
      </c>
    </row>
    <row r="389" spans="1:7" x14ac:dyDescent="0.25">
      <c r="A389" s="34" t="str">
        <f>"CC0136  PARTE VAL.DI.SJS"</f>
        <v>CC0136  PARTE VAL.DI.SJS</v>
      </c>
      <c r="B389" s="2">
        <v>21</v>
      </c>
      <c r="C389" s="2">
        <v>4</v>
      </c>
      <c r="D389" s="11" t="str">
        <f t="shared" si="14"/>
        <v>UN</v>
      </c>
      <c r="E389" s="12">
        <v>14.795000000000002</v>
      </c>
      <c r="F389" s="13">
        <v>0</v>
      </c>
      <c r="G389" s="14" t="s">
        <v>198</v>
      </c>
    </row>
    <row r="390" spans="1:7" x14ac:dyDescent="0.25">
      <c r="A390" s="34" t="str">
        <f>"CC0142 ALOJAM.VAL.PW"</f>
        <v>CC0142 ALOJAM.VAL.PW</v>
      </c>
      <c r="B390" s="2">
        <v>21</v>
      </c>
      <c r="C390" s="2">
        <v>2</v>
      </c>
      <c r="D390" s="11" t="str">
        <f t="shared" si="14"/>
        <v>UN</v>
      </c>
      <c r="E390" s="12">
        <v>74.140000000000015</v>
      </c>
      <c r="F390" s="13">
        <v>0</v>
      </c>
      <c r="G390" s="14" t="s">
        <v>198</v>
      </c>
    </row>
    <row r="391" spans="1:7" x14ac:dyDescent="0.25">
      <c r="A391" s="34" t="str">
        <f>"CC0173 BASE DISP.SCN=CA0086=CA0087"</f>
        <v>CC0173 BASE DISP.SCN=CA0086=CA0087</v>
      </c>
      <c r="B391" s="2">
        <v>21</v>
      </c>
      <c r="C391" s="2">
        <v>2</v>
      </c>
      <c r="D391" s="11" t="str">
        <f t="shared" si="14"/>
        <v>UN</v>
      </c>
      <c r="E391" s="12">
        <v>22.962500000000002</v>
      </c>
      <c r="F391" s="13">
        <v>0</v>
      </c>
      <c r="G391" s="14" t="s">
        <v>198</v>
      </c>
    </row>
    <row r="392" spans="1:7" x14ac:dyDescent="0.25">
      <c r="A392" s="34" t="str">
        <f>"CIERRE FINAL"</f>
        <v>CIERRE FINAL</v>
      </c>
      <c r="B392" s="2">
        <v>21</v>
      </c>
      <c r="C392" s="2">
        <v>5</v>
      </c>
      <c r="D392" s="11" t="str">
        <f t="shared" si="14"/>
        <v>UN</v>
      </c>
      <c r="E392" s="12">
        <v>29.356249999999999</v>
      </c>
      <c r="F392" s="13">
        <v>0</v>
      </c>
      <c r="G392" s="14" t="s">
        <v>198</v>
      </c>
    </row>
    <row r="393" spans="1:7" x14ac:dyDescent="0.25">
      <c r="A393" s="34" t="str">
        <f>"CILINDRO"</f>
        <v>CILINDRO</v>
      </c>
      <c r="B393" s="2">
        <v>21</v>
      </c>
      <c r="C393" s="2">
        <v>2</v>
      </c>
      <c r="D393" s="11" t="str">
        <f t="shared" si="14"/>
        <v>UN</v>
      </c>
      <c r="E393" s="12">
        <v>38.967500000000001</v>
      </c>
      <c r="F393" s="13">
        <v>0</v>
      </c>
      <c r="G393" s="14" t="s">
        <v>198</v>
      </c>
    </row>
    <row r="394" spans="1:7" x14ac:dyDescent="0.25">
      <c r="A394" s="34" t="str">
        <f>"CLAVIJA"</f>
        <v>CLAVIJA</v>
      </c>
      <c r="B394" s="2">
        <v>21</v>
      </c>
      <c r="C394" s="2">
        <v>7</v>
      </c>
      <c r="D394" s="11" t="str">
        <f t="shared" ref="D394:D457" si="15">"UN"</f>
        <v>UN</v>
      </c>
      <c r="E394" s="12">
        <v>13.282500000000001</v>
      </c>
      <c r="F394" s="13">
        <v>0</v>
      </c>
      <c r="G394" s="14" t="s">
        <v>198</v>
      </c>
    </row>
    <row r="395" spans="1:7" x14ac:dyDescent="0.25">
      <c r="A395" s="34" t="str">
        <f>"CUBIERTA"</f>
        <v>CUBIERTA</v>
      </c>
      <c r="B395" s="2">
        <v>21</v>
      </c>
      <c r="C395" s="2">
        <v>2</v>
      </c>
      <c r="D395" s="11" t="str">
        <f t="shared" si="15"/>
        <v>UN</v>
      </c>
      <c r="E395" s="12">
        <v>24.997500000000002</v>
      </c>
      <c r="F395" s="13">
        <v>0</v>
      </c>
      <c r="G395" s="14" t="s">
        <v>198</v>
      </c>
    </row>
    <row r="396" spans="1:7" x14ac:dyDescent="0.25">
      <c r="A396" s="34" t="str">
        <f>"CUBIERTA DEL DEPOSITO"</f>
        <v>CUBIERTA DEL DEPOSITO</v>
      </c>
      <c r="B396" s="2">
        <v>21</v>
      </c>
      <c r="C396" s="2">
        <v>3</v>
      </c>
      <c r="D396" s="11" t="str">
        <f t="shared" si="15"/>
        <v>UN</v>
      </c>
      <c r="E396" s="12">
        <v>57.791250000000005</v>
      </c>
      <c r="F396" s="13">
        <v>0</v>
      </c>
      <c r="G396" s="14" t="s">
        <v>198</v>
      </c>
    </row>
    <row r="397" spans="1:7" x14ac:dyDescent="0.25">
      <c r="A397" s="34" t="str">
        <f>"CUBRESEGURO"</f>
        <v>CUBRESEGURO</v>
      </c>
      <c r="B397" s="2">
        <v>21</v>
      </c>
      <c r="C397" s="2">
        <v>1</v>
      </c>
      <c r="D397" s="11" t="str">
        <f t="shared" si="15"/>
        <v>UN</v>
      </c>
      <c r="E397" s="12">
        <v>65.56</v>
      </c>
      <c r="F397" s="13">
        <v>0</v>
      </c>
      <c r="G397" s="14" t="s">
        <v>198</v>
      </c>
    </row>
    <row r="398" spans="1:7" x14ac:dyDescent="0.25">
      <c r="A398" s="34" t="str">
        <f>"DEFLECTOR"</f>
        <v>DEFLECTOR</v>
      </c>
      <c r="B398" s="2">
        <v>21</v>
      </c>
      <c r="C398" s="2">
        <v>2</v>
      </c>
      <c r="D398" s="11" t="str">
        <f t="shared" si="15"/>
        <v>UN</v>
      </c>
      <c r="E398" s="12">
        <v>8.3050000000000015</v>
      </c>
      <c r="F398" s="13">
        <v>0</v>
      </c>
      <c r="G398" s="14" t="s">
        <v>198</v>
      </c>
    </row>
    <row r="399" spans="1:7" x14ac:dyDescent="0.25">
      <c r="A399" s="34" t="str">
        <f>"DEPOSITO B"</f>
        <v>DEPOSITO B</v>
      </c>
      <c r="B399" s="2">
        <v>21</v>
      </c>
      <c r="C399" s="2">
        <v>17</v>
      </c>
      <c r="D399" s="11" t="str">
        <f t="shared" si="15"/>
        <v>UN</v>
      </c>
      <c r="E399" s="12">
        <v>451.37125000000009</v>
      </c>
      <c r="F399" s="13">
        <v>0</v>
      </c>
      <c r="G399" s="14" t="s">
        <v>198</v>
      </c>
    </row>
    <row r="400" spans="1:7" x14ac:dyDescent="0.25">
      <c r="A400" s="34" t="str">
        <f>"EA0021  PASAD.LENGUETA J"</f>
        <v>EA0021  PASAD.LENGUETA J</v>
      </c>
      <c r="B400" s="2">
        <v>21</v>
      </c>
      <c r="C400" s="2">
        <v>5</v>
      </c>
      <c r="D400" s="11" t="str">
        <f t="shared" si="15"/>
        <v>UN</v>
      </c>
      <c r="E400" s="12">
        <v>110.06875000000002</v>
      </c>
      <c r="F400" s="13">
        <v>0</v>
      </c>
      <c r="G400" s="14" t="s">
        <v>198</v>
      </c>
    </row>
    <row r="401" spans="1:7" x14ac:dyDescent="0.25">
      <c r="A401" s="34" t="str">
        <f>"EA0037  PIST+LENGU.SJS-5"</f>
        <v>EA0037  PIST+LENGU.SJS-5</v>
      </c>
      <c r="B401" s="2">
        <v>21</v>
      </c>
      <c r="C401" s="2">
        <v>8</v>
      </c>
      <c r="D401" s="11" t="str">
        <f t="shared" si="15"/>
        <v>UN</v>
      </c>
      <c r="E401" s="12">
        <v>230.34</v>
      </c>
      <c r="F401" s="13">
        <v>0</v>
      </c>
      <c r="G401" s="14" t="s">
        <v>198</v>
      </c>
    </row>
    <row r="402" spans="1:7" x14ac:dyDescent="0.25">
      <c r="A402" s="34" t="str">
        <f>"EA0075 3/32 csk LEN.SLP 20 larga"</f>
        <v>EA0075 3/32 csk LEN.SLP 20 larga</v>
      </c>
      <c r="B402" s="2">
        <v>21</v>
      </c>
      <c r="C402" s="2">
        <v>1</v>
      </c>
      <c r="D402" s="11" t="str">
        <f t="shared" si="15"/>
        <v>UN</v>
      </c>
      <c r="E402" s="12">
        <v>48.895000000000003</v>
      </c>
      <c r="F402" s="13">
        <v>0</v>
      </c>
      <c r="G402" s="14" t="s">
        <v>198</v>
      </c>
    </row>
    <row r="403" spans="1:7" x14ac:dyDescent="0.25">
      <c r="A403" s="34" t="str">
        <f>"EA0099 CON.PIST.LEN.PW"</f>
        <v>EA0099 CON.PIST.LEN.PW</v>
      </c>
      <c r="B403" s="2">
        <v>21</v>
      </c>
      <c r="C403" s="2">
        <v>2</v>
      </c>
      <c r="D403" s="11" t="str">
        <f t="shared" si="15"/>
        <v>UN</v>
      </c>
      <c r="E403" s="12">
        <v>170.7475</v>
      </c>
      <c r="F403" s="13">
        <v>0</v>
      </c>
      <c r="G403" s="14" t="s">
        <v>198</v>
      </c>
    </row>
    <row r="404" spans="1:7" x14ac:dyDescent="0.25">
      <c r="A404" s="34" t="str">
        <f>"EA0158 PISTON + LENGUETA SNS41"</f>
        <v>EA0158 PISTON + LENGUETA SNS41</v>
      </c>
      <c r="B404" s="2">
        <v>21</v>
      </c>
      <c r="C404" s="2">
        <v>1</v>
      </c>
      <c r="D404" s="11" t="str">
        <f t="shared" si="15"/>
        <v>UN</v>
      </c>
      <c r="E404" s="12">
        <v>82.08750000000002</v>
      </c>
      <c r="F404" s="13">
        <v>0</v>
      </c>
      <c r="G404" s="14" t="s">
        <v>198</v>
      </c>
    </row>
    <row r="405" spans="1:7" x14ac:dyDescent="0.25">
      <c r="A405" s="34" t="str">
        <f>"EB0049  INSER/PERCU.F-75"</f>
        <v>EB0049  INSER/PERCU.F-75</v>
      </c>
      <c r="B405" s="2">
        <v>21</v>
      </c>
      <c r="C405" s="2">
        <v>13</v>
      </c>
      <c r="D405" s="11" t="str">
        <f t="shared" si="15"/>
        <v>UN</v>
      </c>
      <c r="E405" s="12">
        <v>268.125</v>
      </c>
      <c r="F405" s="13">
        <v>0</v>
      </c>
      <c r="G405" s="14" t="s">
        <v>198</v>
      </c>
    </row>
    <row r="406" spans="1:7" x14ac:dyDescent="0.25">
      <c r="A406" s="34" t="str">
        <f>"EB0166 PERCUTOR SNII"</f>
        <v>EB0166 PERCUTOR SNII</v>
      </c>
      <c r="B406" s="2">
        <v>21</v>
      </c>
      <c r="C406" s="2">
        <v>5</v>
      </c>
      <c r="D406" s="11" t="str">
        <f t="shared" si="15"/>
        <v>UN</v>
      </c>
      <c r="E406" s="12">
        <v>214.70625000000007</v>
      </c>
      <c r="F406" s="13">
        <v>0</v>
      </c>
      <c r="G406" s="14" t="s">
        <v>198</v>
      </c>
    </row>
    <row r="407" spans="1:7" x14ac:dyDescent="0.25">
      <c r="A407" s="34" t="str">
        <f>"EB0167  PERCU.LARGO SFN2"</f>
        <v>EB0167  PERCU.LARGO SFN2</v>
      </c>
      <c r="B407" s="2">
        <v>21</v>
      </c>
      <c r="C407" s="2">
        <v>51</v>
      </c>
      <c r="D407" s="11" t="str">
        <f t="shared" si="15"/>
        <v>UN</v>
      </c>
      <c r="E407" s="12">
        <v>691.4325</v>
      </c>
      <c r="F407" s="13">
        <v>0</v>
      </c>
      <c r="G407" s="14" t="s">
        <v>198</v>
      </c>
    </row>
    <row r="408" spans="1:7" x14ac:dyDescent="0.25">
      <c r="A408" s="34" t="str">
        <f>"EC0057  PISTON LN3045"</f>
        <v>EC0057  PISTON LN3045</v>
      </c>
      <c r="B408" s="2">
        <v>21</v>
      </c>
      <c r="C408" s="2">
        <v>6</v>
      </c>
      <c r="D408" s="11" t="str">
        <f t="shared" si="15"/>
        <v>UN</v>
      </c>
      <c r="E408" s="12">
        <v>155.76000000000002</v>
      </c>
      <c r="F408" s="13">
        <v>0</v>
      </c>
      <c r="G408" s="14" t="s">
        <v>198</v>
      </c>
    </row>
    <row r="409" spans="1:7" x14ac:dyDescent="0.25">
      <c r="A409" s="34" t="str">
        <f>"EC0097  PISTON SN-II"</f>
        <v>EC0097  PISTON SN-II</v>
      </c>
      <c r="B409" s="2">
        <v>21</v>
      </c>
      <c r="C409" s="2">
        <v>3</v>
      </c>
      <c r="D409" s="11" t="str">
        <f t="shared" si="15"/>
        <v>UN</v>
      </c>
      <c r="E409" s="12">
        <v>139.13625000000002</v>
      </c>
      <c r="F409" s="13">
        <v>0</v>
      </c>
      <c r="G409" s="14" t="s">
        <v>198</v>
      </c>
    </row>
    <row r="410" spans="1:7" x14ac:dyDescent="0.25">
      <c r="A410" s="34" t="str">
        <f>"EC0162  PERCUTOR J3"</f>
        <v>EC0162  PERCUTOR J3</v>
      </c>
      <c r="B410" s="2">
        <v>21</v>
      </c>
      <c r="C410" s="2">
        <v>1</v>
      </c>
      <c r="D410" s="11" t="str">
        <f t="shared" si="15"/>
        <v>UN</v>
      </c>
      <c r="E410" s="12">
        <v>33.852500000000006</v>
      </c>
      <c r="F410" s="13">
        <v>0</v>
      </c>
      <c r="G410" s="14" t="s">
        <v>198</v>
      </c>
    </row>
    <row r="411" spans="1:7" x14ac:dyDescent="0.25">
      <c r="A411" s="34" t="str">
        <f>"EC0163  PERCUTOR JN5"</f>
        <v>EC0163  PERCUTOR JN5</v>
      </c>
      <c r="B411" s="2">
        <v>21</v>
      </c>
      <c r="C411" s="2">
        <v>1</v>
      </c>
      <c r="D411" s="11" t="str">
        <f t="shared" si="15"/>
        <v>UN</v>
      </c>
      <c r="E411" s="12">
        <v>27.18375</v>
      </c>
      <c r="F411" s="13">
        <v>0</v>
      </c>
      <c r="G411" s="14" t="s">
        <v>198</v>
      </c>
    </row>
    <row r="412" spans="1:7" x14ac:dyDescent="0.25">
      <c r="A412" s="34" t="str">
        <f>"EC0165  PERCUTOR J5"</f>
        <v>EC0165  PERCUTOR J5</v>
      </c>
      <c r="B412" s="2">
        <v>21</v>
      </c>
      <c r="C412" s="2">
        <v>6</v>
      </c>
      <c r="D412" s="11" t="str">
        <f t="shared" si="15"/>
        <v>UN</v>
      </c>
      <c r="E412" s="12">
        <v>142.22999999999999</v>
      </c>
      <c r="F412" s="13">
        <v>0</v>
      </c>
      <c r="G412" s="14" t="s">
        <v>198</v>
      </c>
    </row>
    <row r="413" spans="1:7" x14ac:dyDescent="0.25">
      <c r="A413" s="34" t="str">
        <f>"EC0172 = EC0328 PERCUTOR MIII"</f>
        <v>EC0172 = EC0328 PERCUTOR MIII</v>
      </c>
      <c r="B413" s="2">
        <v>21</v>
      </c>
      <c r="C413" s="2">
        <v>5</v>
      </c>
      <c r="D413" s="11" t="str">
        <f t="shared" si="15"/>
        <v>UN</v>
      </c>
      <c r="E413" s="12">
        <v>145.88749999999999</v>
      </c>
      <c r="F413" s="13">
        <v>0</v>
      </c>
      <c r="G413" s="14" t="s">
        <v>198</v>
      </c>
    </row>
    <row r="414" spans="1:7" x14ac:dyDescent="0.25">
      <c r="A414" s="34" t="str">
        <f>"EC0210"</f>
        <v>EC0210</v>
      </c>
      <c r="B414" s="2">
        <v>21</v>
      </c>
      <c r="C414" s="2">
        <v>1</v>
      </c>
      <c r="D414" s="11" t="str">
        <f t="shared" si="15"/>
        <v>UN</v>
      </c>
      <c r="E414" s="12">
        <v>27.720000000000002</v>
      </c>
      <c r="F414" s="13">
        <v>0</v>
      </c>
      <c r="G414" s="14" t="s">
        <v>198</v>
      </c>
    </row>
    <row r="415" spans="1:7" x14ac:dyDescent="0.25">
      <c r="A415" s="34" t="str">
        <f>"EC0245 LENGUETA SLS25 N4450"</f>
        <v>EC0245 LENGUETA SLS25 N4450</v>
      </c>
      <c r="B415" s="2">
        <v>21</v>
      </c>
      <c r="C415" s="2">
        <v>2</v>
      </c>
      <c r="D415" s="11" t="str">
        <f t="shared" si="15"/>
        <v>UN</v>
      </c>
      <c r="E415" s="12">
        <v>46.31</v>
      </c>
      <c r="F415" s="13">
        <v>0</v>
      </c>
      <c r="G415" s="14" t="s">
        <v>198</v>
      </c>
    </row>
    <row r="416" spans="1:7" x14ac:dyDescent="0.25">
      <c r="A416" s="34" t="str">
        <f>"EMPUJADOR. SFT10 XP  N3"</f>
        <v>EMPUJADOR. SFT10 XP  N3</v>
      </c>
      <c r="B416" s="2">
        <v>21</v>
      </c>
      <c r="C416" s="2">
        <v>2</v>
      </c>
      <c r="D416" s="11" t="str">
        <f t="shared" si="15"/>
        <v>UN</v>
      </c>
      <c r="E416" s="12">
        <v>39.407500000000006</v>
      </c>
      <c r="F416" s="13">
        <v>0</v>
      </c>
      <c r="G416" s="14" t="s">
        <v>198</v>
      </c>
    </row>
    <row r="417" spans="1:7" x14ac:dyDescent="0.25">
      <c r="A417" s="34" t="str">
        <f>"ENCHUFE 20-0310"</f>
        <v>ENCHUFE 20-0310</v>
      </c>
      <c r="B417" s="2">
        <v>21</v>
      </c>
      <c r="C417" s="2">
        <v>1</v>
      </c>
      <c r="D417" s="11" t="str">
        <f t="shared" si="15"/>
        <v>UN</v>
      </c>
      <c r="E417" s="12">
        <v>30.112500000000001</v>
      </c>
      <c r="F417" s="13">
        <v>0</v>
      </c>
      <c r="G417" s="14" t="s">
        <v>198</v>
      </c>
    </row>
    <row r="418" spans="1:7" x14ac:dyDescent="0.25">
      <c r="A418" s="34" t="str">
        <f>"ENCHUFE ARO 20-0300"</f>
        <v>ENCHUFE ARO 20-0300</v>
      </c>
      <c r="B418" s="2">
        <v>21</v>
      </c>
      <c r="C418" s="2">
        <v>20</v>
      </c>
      <c r="D418" s="11" t="str">
        <f t="shared" si="15"/>
        <v>UN</v>
      </c>
      <c r="E418" s="12">
        <v>627.55000000000007</v>
      </c>
      <c r="F418" s="13">
        <v>0</v>
      </c>
      <c r="G418" s="14" t="s">
        <v>198</v>
      </c>
    </row>
    <row r="419" spans="1:7" x14ac:dyDescent="0.25">
      <c r="A419" s="34" t="str">
        <f>"ENCHUFE ARO 20-8000"</f>
        <v>ENCHUFE ARO 20-8000</v>
      </c>
      <c r="B419" s="2">
        <v>21</v>
      </c>
      <c r="C419" s="2">
        <v>37</v>
      </c>
      <c r="D419" s="11" t="str">
        <f t="shared" si="15"/>
        <v>UN</v>
      </c>
      <c r="E419" s="12">
        <v>1160.9675000000002</v>
      </c>
      <c r="F419" s="13">
        <v>0</v>
      </c>
      <c r="G419" s="14" t="s">
        <v>198</v>
      </c>
    </row>
    <row r="420" spans="1:7" x14ac:dyDescent="0.25">
      <c r="A420" s="34" t="str">
        <f>"ENTLÜFTUNGSNIPPEL Nº01 BUHNEN HB700K"</f>
        <v>ENTLÜFTUNGSNIPPEL Nº01 BUHNEN HB700K</v>
      </c>
      <c r="B420" s="2">
        <v>21</v>
      </c>
      <c r="C420" s="2">
        <v>1</v>
      </c>
      <c r="D420" s="11" t="str">
        <f t="shared" si="15"/>
        <v>UN</v>
      </c>
      <c r="E420" s="12">
        <v>38.142499999999998</v>
      </c>
      <c r="F420" s="13">
        <v>0</v>
      </c>
      <c r="G420" s="14" t="s">
        <v>198</v>
      </c>
    </row>
    <row r="421" spans="1:7" x14ac:dyDescent="0.25">
      <c r="A421" s="34" t="str">
        <f>"ESCUADRA PISTA P0445101301"</f>
        <v>ESCUADRA PISTA P0445101301</v>
      </c>
      <c r="B421" s="2">
        <v>21</v>
      </c>
      <c r="C421" s="2">
        <v>1</v>
      </c>
      <c r="D421" s="11" t="str">
        <f t="shared" si="15"/>
        <v>UN</v>
      </c>
      <c r="E421" s="12">
        <v>3.9325000000000001</v>
      </c>
      <c r="F421" s="13">
        <v>0</v>
      </c>
      <c r="G421" s="14" t="s">
        <v>198</v>
      </c>
    </row>
    <row r="422" spans="1:7" x14ac:dyDescent="0.25">
      <c r="A422" s="34" t="str">
        <f>"FA0004  TAPA MORRO PW"</f>
        <v>FA0004  TAPA MORRO PW</v>
      </c>
      <c r="B422" s="2">
        <v>21</v>
      </c>
      <c r="C422" s="2">
        <v>2</v>
      </c>
      <c r="D422" s="11" t="str">
        <f t="shared" si="15"/>
        <v>UN</v>
      </c>
      <c r="E422" s="12">
        <v>111.34750000000001</v>
      </c>
      <c r="F422" s="13">
        <v>0</v>
      </c>
      <c r="G422" s="14" t="s">
        <v>198</v>
      </c>
    </row>
    <row r="423" spans="1:7" x14ac:dyDescent="0.25">
      <c r="A423" s="34" t="str">
        <f>"FA0047  T.MOR.LN3045 1"""</f>
        <v>FA0047  T.MOR.LN3045 1"</v>
      </c>
      <c r="B423" s="2">
        <v>21</v>
      </c>
      <c r="C423" s="2">
        <v>5</v>
      </c>
      <c r="D423" s="11" t="str">
        <f t="shared" si="15"/>
        <v>UN</v>
      </c>
      <c r="E423" s="12">
        <v>405.21250000000003</v>
      </c>
      <c r="F423" s="13">
        <v>0</v>
      </c>
      <c r="G423" s="14" t="s">
        <v>198</v>
      </c>
    </row>
    <row r="424" spans="1:7" x14ac:dyDescent="0.25">
      <c r="A424" s="34" t="str">
        <f>"FA0066  TRA.MORRO JG 1/2"</f>
        <v>FA0066  TRA.MORRO JG 1/2</v>
      </c>
      <c r="B424" s="2">
        <v>21</v>
      </c>
      <c r="C424" s="2">
        <v>1</v>
      </c>
      <c r="D424" s="11" t="str">
        <f t="shared" si="15"/>
        <v>UN</v>
      </c>
      <c r="E424" s="12">
        <v>103.24875000000002</v>
      </c>
      <c r="F424" s="13">
        <v>0</v>
      </c>
      <c r="G424" s="14" t="s">
        <v>198</v>
      </c>
    </row>
    <row r="425" spans="1:7" x14ac:dyDescent="0.25">
      <c r="A425" s="34" t="str">
        <f>"FA0073  T.MORRO JN 1/2 = FA0061"</f>
        <v>FA0073  T.MORRO JN 1/2 = FA0061</v>
      </c>
      <c r="B425" s="2">
        <v>21</v>
      </c>
      <c r="C425" s="2">
        <v>4</v>
      </c>
      <c r="D425" s="11" t="str">
        <f t="shared" si="15"/>
        <v>UN</v>
      </c>
      <c r="E425" s="12">
        <v>663.63</v>
      </c>
      <c r="F425" s="13">
        <v>0</v>
      </c>
      <c r="G425" s="14" t="s">
        <v>198</v>
      </c>
    </row>
    <row r="426" spans="1:7" x14ac:dyDescent="0.25">
      <c r="A426" s="34" t="str">
        <f>"FA0085  TRAS.MORRO L-75"</f>
        <v>FA0085  TRAS.MORRO L-75</v>
      </c>
      <c r="B426" s="2">
        <v>21</v>
      </c>
      <c r="C426" s="2">
        <v>2</v>
      </c>
      <c r="D426" s="11" t="str">
        <f t="shared" si="15"/>
        <v>UN</v>
      </c>
      <c r="E426" s="12">
        <v>331.98</v>
      </c>
      <c r="F426" s="13">
        <v>0</v>
      </c>
      <c r="G426" s="14" t="s">
        <v>198</v>
      </c>
    </row>
    <row r="427" spans="1:7" x14ac:dyDescent="0.25">
      <c r="A427" s="34" t="str">
        <f>"FA0176+FC0342 = FA0014  TRASERA MORRO M1"</f>
        <v>FA0176+FC0342 = FA0014  TRASERA MORRO M1</v>
      </c>
      <c r="B427" s="2">
        <v>21</v>
      </c>
      <c r="C427" s="2">
        <v>5</v>
      </c>
      <c r="D427" s="11" t="str">
        <f t="shared" si="15"/>
        <v>UN</v>
      </c>
      <c r="E427" s="12">
        <v>457.39375000000001</v>
      </c>
      <c r="F427" s="13">
        <v>0</v>
      </c>
      <c r="G427" s="14" t="s">
        <v>198</v>
      </c>
    </row>
    <row r="428" spans="1:7" x14ac:dyDescent="0.25">
      <c r="A428" s="34" t="str">
        <f>"FA0192 TRASERA MORRO"</f>
        <v>FA0192 TRASERA MORRO</v>
      </c>
      <c r="B428" s="2">
        <v>21</v>
      </c>
      <c r="C428" s="2">
        <v>5</v>
      </c>
      <c r="D428" s="11" t="str">
        <f t="shared" si="15"/>
        <v>UN</v>
      </c>
      <c r="E428" s="12">
        <v>600.66875000000005</v>
      </c>
      <c r="F428" s="13">
        <v>0</v>
      </c>
      <c r="G428" s="14" t="s">
        <v>198</v>
      </c>
    </row>
    <row r="429" spans="1:7" x14ac:dyDescent="0.25">
      <c r="A429" s="34" t="str">
        <f>"FA7667  MORRO DFP"</f>
        <v>FA7667  MORRO DFP</v>
      </c>
      <c r="B429" s="2">
        <v>21</v>
      </c>
      <c r="C429" s="2">
        <v>3</v>
      </c>
      <c r="D429" s="11" t="str">
        <f t="shared" si="15"/>
        <v>UN</v>
      </c>
      <c r="E429" s="12">
        <v>414.19125000000003</v>
      </c>
      <c r="F429" s="13">
        <v>0</v>
      </c>
      <c r="G429" s="14" t="s">
        <v>198</v>
      </c>
    </row>
    <row r="430" spans="1:7" x14ac:dyDescent="0.25">
      <c r="A430" s="34" t="str">
        <f>"FB0002  PASADOR"</f>
        <v>FB0002  PASADOR</v>
      </c>
      <c r="B430" s="2">
        <v>21</v>
      </c>
      <c r="C430" s="2">
        <v>23</v>
      </c>
      <c r="D430" s="11" t="str">
        <f t="shared" si="15"/>
        <v>UN</v>
      </c>
      <c r="E430" s="12">
        <v>89.182500000000019</v>
      </c>
      <c r="F430" s="13">
        <v>0</v>
      </c>
      <c r="G430" s="14" t="s">
        <v>198</v>
      </c>
    </row>
    <row r="431" spans="1:7" x14ac:dyDescent="0.25">
      <c r="A431" s="34" t="str">
        <f>"FB0013  MUELLE SN2"</f>
        <v>FB0013  MUELLE SN2</v>
      </c>
      <c r="B431" s="2">
        <v>21</v>
      </c>
      <c r="C431" s="2">
        <v>5</v>
      </c>
      <c r="D431" s="11" t="str">
        <f t="shared" si="15"/>
        <v>UN</v>
      </c>
      <c r="E431" s="12">
        <v>55.000000000000007</v>
      </c>
      <c r="F431" s="13">
        <v>0</v>
      </c>
      <c r="G431" s="14" t="s">
        <v>198</v>
      </c>
    </row>
    <row r="432" spans="1:7" x14ac:dyDescent="0.25">
      <c r="A432" s="34" t="str">
        <f>"FB0034  MORRO LS2"</f>
        <v>FB0034  MORRO LS2</v>
      </c>
      <c r="B432" s="2">
        <v>21</v>
      </c>
      <c r="C432" s="2">
        <v>4</v>
      </c>
      <c r="D432" s="11" t="str">
        <f t="shared" si="15"/>
        <v>UN</v>
      </c>
      <c r="E432" s="12">
        <v>167.75</v>
      </c>
      <c r="F432" s="13">
        <v>0</v>
      </c>
      <c r="G432" s="14" t="s">
        <v>198</v>
      </c>
    </row>
    <row r="433" spans="1:7" x14ac:dyDescent="0.25">
      <c r="A433" s="34" t="str">
        <f>"FC0109 TAPA MORRO SPS"</f>
        <v>FC0109 TAPA MORRO SPS</v>
      </c>
      <c r="B433" s="2">
        <v>21</v>
      </c>
      <c r="C433" s="2">
        <v>4</v>
      </c>
      <c r="D433" s="11" t="str">
        <f t="shared" si="15"/>
        <v>UN</v>
      </c>
      <c r="E433" s="12">
        <v>206.69000000000003</v>
      </c>
      <c r="F433" s="13">
        <v>0</v>
      </c>
      <c r="G433" s="14" t="s">
        <v>198</v>
      </c>
    </row>
    <row r="434" spans="1:7" x14ac:dyDescent="0.25">
      <c r="A434" s="34" t="str">
        <f>"FC0110 TAPA MORRO SPS"</f>
        <v>FC0110 TAPA MORRO SPS</v>
      </c>
      <c r="B434" s="2">
        <v>21</v>
      </c>
      <c r="C434" s="2">
        <v>1</v>
      </c>
      <c r="D434" s="11" t="str">
        <f t="shared" si="15"/>
        <v>UN</v>
      </c>
      <c r="E434" s="12">
        <v>54.243750000000006</v>
      </c>
      <c r="F434" s="13">
        <v>0</v>
      </c>
      <c r="G434" s="14" t="s">
        <v>198</v>
      </c>
    </row>
    <row r="435" spans="1:7" x14ac:dyDescent="0.25">
      <c r="A435" s="34" t="str">
        <f>"FC0213 TAPA MOR.SLP20"</f>
        <v>FC0213 TAPA MOR.SLP20</v>
      </c>
      <c r="B435" s="2">
        <v>21</v>
      </c>
      <c r="C435" s="2">
        <v>3</v>
      </c>
      <c r="D435" s="11" t="str">
        <f t="shared" si="15"/>
        <v>UN</v>
      </c>
      <c r="E435" s="12">
        <v>118.22250000000001</v>
      </c>
      <c r="F435" s="13">
        <v>0</v>
      </c>
      <c r="G435" s="14" t="s">
        <v>198</v>
      </c>
    </row>
    <row r="436" spans="1:7" x14ac:dyDescent="0.25">
      <c r="A436" s="34" t="str">
        <f>"FC0227 TRA. MOR. SN70"</f>
        <v>FC0227 TRA. MOR. SN70</v>
      </c>
      <c r="B436" s="2">
        <v>21</v>
      </c>
      <c r="C436" s="2">
        <v>1</v>
      </c>
      <c r="D436" s="11" t="str">
        <f t="shared" si="15"/>
        <v>UN</v>
      </c>
      <c r="E436" s="12">
        <v>189.31000000000006</v>
      </c>
      <c r="F436" s="13">
        <v>0</v>
      </c>
      <c r="G436" s="14" t="s">
        <v>198</v>
      </c>
    </row>
    <row r="437" spans="1:7" x14ac:dyDescent="0.25">
      <c r="A437" s="34" t="str">
        <f>"FC0228 TAPA MORRO SN70"</f>
        <v>FC0228 TAPA MORRO SN70</v>
      </c>
      <c r="B437" s="2">
        <v>21</v>
      </c>
      <c r="C437" s="2">
        <v>1</v>
      </c>
      <c r="D437" s="11" t="str">
        <f t="shared" si="15"/>
        <v>UN</v>
      </c>
      <c r="E437" s="12">
        <v>45.416250000000005</v>
      </c>
      <c r="F437" s="13">
        <v>0</v>
      </c>
      <c r="G437" s="14" t="s">
        <v>198</v>
      </c>
    </row>
    <row r="438" spans="1:7" x14ac:dyDescent="0.25">
      <c r="A438" s="34" t="str">
        <f>"FC0333"</f>
        <v>FC0333</v>
      </c>
      <c r="B438" s="2">
        <v>21</v>
      </c>
      <c r="C438" s="2">
        <v>2</v>
      </c>
      <c r="D438" s="11" t="str">
        <f t="shared" si="15"/>
        <v>UN</v>
      </c>
      <c r="E438" s="12">
        <v>79.860000000000014</v>
      </c>
      <c r="F438" s="13">
        <v>0</v>
      </c>
      <c r="G438" s="14" t="s">
        <v>198</v>
      </c>
    </row>
    <row r="439" spans="1:7" x14ac:dyDescent="0.25">
      <c r="A439" s="34" t="str">
        <f>"FC0367"</f>
        <v>FC0367</v>
      </c>
      <c r="B439" s="2">
        <v>21</v>
      </c>
      <c r="C439" s="2">
        <v>4</v>
      </c>
      <c r="D439" s="11" t="str">
        <f t="shared" si="15"/>
        <v>UN</v>
      </c>
      <c r="E439" s="12">
        <v>47.465000000000011</v>
      </c>
      <c r="F439" s="13">
        <v>0</v>
      </c>
      <c r="G439" s="14" t="s">
        <v>198</v>
      </c>
    </row>
    <row r="440" spans="1:7" x14ac:dyDescent="0.25">
      <c r="A440" s="34" t="str">
        <f>"FILTRO. MAX HN90"</f>
        <v>FILTRO. MAX HN90</v>
      </c>
      <c r="B440" s="2">
        <v>21</v>
      </c>
      <c r="C440" s="2">
        <v>1</v>
      </c>
      <c r="D440" s="11" t="str">
        <f t="shared" si="15"/>
        <v>UN</v>
      </c>
      <c r="E440" s="12">
        <v>24.227499999999999</v>
      </c>
      <c r="F440" s="13">
        <v>0</v>
      </c>
      <c r="G440" s="14" t="s">
        <v>198</v>
      </c>
    </row>
    <row r="441" spans="1:7" x14ac:dyDescent="0.25">
      <c r="A441" s="34" t="str">
        <f>"G0209600 PISTON LENGUETA SA 14/50"</f>
        <v>G0209600 PISTON LENGUETA SA 14/50</v>
      </c>
      <c r="B441" s="2">
        <v>21</v>
      </c>
      <c r="C441" s="2">
        <v>3</v>
      </c>
      <c r="D441" s="11" t="str">
        <f t="shared" si="15"/>
        <v>UN</v>
      </c>
      <c r="E441" s="12">
        <v>142.60125000000005</v>
      </c>
      <c r="F441" s="13">
        <v>0</v>
      </c>
      <c r="G441" s="14" t="s">
        <v>198</v>
      </c>
    </row>
    <row r="442" spans="1:7" x14ac:dyDescent="0.25">
      <c r="A442" s="34" t="str">
        <f>"G1300201 GATILLO DE LA VALVULA"</f>
        <v>G1300201 GATILLO DE LA VALVULA</v>
      </c>
      <c r="B442" s="2">
        <v>21</v>
      </c>
      <c r="C442" s="2">
        <v>4</v>
      </c>
      <c r="D442" s="11" t="str">
        <f t="shared" si="15"/>
        <v>UN</v>
      </c>
      <c r="E442" s="12">
        <v>43.285000000000004</v>
      </c>
      <c r="F442" s="13">
        <v>0</v>
      </c>
      <c r="G442" s="14" t="s">
        <v>198</v>
      </c>
    </row>
    <row r="443" spans="1:7" x14ac:dyDescent="0.25">
      <c r="A443" s="34" t="str">
        <f>"G1300201 NUM.37 GATILLO"</f>
        <v>G1300201 NUM.37 GATILLO</v>
      </c>
      <c r="B443" s="2">
        <v>21</v>
      </c>
      <c r="C443" s="2">
        <v>9</v>
      </c>
      <c r="D443" s="11" t="str">
        <f t="shared" si="15"/>
        <v>UN</v>
      </c>
      <c r="E443" s="12">
        <v>64.47375000000001</v>
      </c>
      <c r="F443" s="13">
        <v>0</v>
      </c>
      <c r="G443" s="14" t="s">
        <v>198</v>
      </c>
    </row>
    <row r="444" spans="1:7" x14ac:dyDescent="0.25">
      <c r="A444" s="34" t="str">
        <f>"GA0009  ALIMENTADOR M3"</f>
        <v>GA0009  ALIMENTADOR M3</v>
      </c>
      <c r="B444" s="2">
        <v>21</v>
      </c>
      <c r="C444" s="2">
        <v>1</v>
      </c>
      <c r="D444" s="11" t="str">
        <f t="shared" si="15"/>
        <v>UN</v>
      </c>
      <c r="E444" s="12">
        <v>50.723750000000003</v>
      </c>
      <c r="F444" s="13">
        <v>0</v>
      </c>
      <c r="G444" s="14" t="s">
        <v>198</v>
      </c>
    </row>
    <row r="445" spans="1:7" x14ac:dyDescent="0.25">
      <c r="A445" s="34" t="str">
        <f>"GA0013  CARGADOR MW"</f>
        <v>GA0013  CARGADOR MW</v>
      </c>
      <c r="B445" s="2">
        <v>21</v>
      </c>
      <c r="C445" s="2">
        <v>3</v>
      </c>
      <c r="D445" s="11" t="str">
        <f t="shared" si="15"/>
        <v>UN</v>
      </c>
      <c r="E445" s="12">
        <v>526.14375000000007</v>
      </c>
      <c r="F445" s="13">
        <v>0</v>
      </c>
      <c r="G445" s="14" t="s">
        <v>198</v>
      </c>
    </row>
    <row r="446" spans="1:7" x14ac:dyDescent="0.25">
      <c r="A446" s="34" t="str">
        <f>"GA0031  ALIMEN.KG-LG4450"</f>
        <v>GA0031  ALIMEN.KG-LG4450</v>
      </c>
      <c r="B446" s="2">
        <v>21</v>
      </c>
      <c r="C446" s="2">
        <v>5</v>
      </c>
      <c r="D446" s="11" t="str">
        <f t="shared" si="15"/>
        <v>UN</v>
      </c>
      <c r="E446" s="12">
        <v>293.42500000000001</v>
      </c>
      <c r="F446" s="13">
        <v>0</v>
      </c>
      <c r="G446" s="14" t="s">
        <v>198</v>
      </c>
    </row>
    <row r="447" spans="1:7" x14ac:dyDescent="0.25">
      <c r="A447" s="34" t="str">
        <f>"GA0032  ALIMEN.KN-LN4450"</f>
        <v>GA0032  ALIMEN.KN-LN4450</v>
      </c>
      <c r="B447" s="2">
        <v>21</v>
      </c>
      <c r="C447" s="2">
        <v>41</v>
      </c>
      <c r="D447" s="11" t="str">
        <f t="shared" si="15"/>
        <v>UN</v>
      </c>
      <c r="E447" s="12">
        <v>582.3537500000001</v>
      </c>
      <c r="F447" s="13">
        <v>0</v>
      </c>
      <c r="G447" s="14" t="s">
        <v>198</v>
      </c>
    </row>
    <row r="448" spans="1:7" x14ac:dyDescent="0.25">
      <c r="A448" s="34" t="str">
        <f>"GA0033  ALIMENT.KN 1 1/2"</f>
        <v>GA0033  ALIMENT.KN 1 1/2</v>
      </c>
      <c r="B448" s="2">
        <v>21</v>
      </c>
      <c r="C448" s="2">
        <v>19</v>
      </c>
      <c r="D448" s="11" t="str">
        <f t="shared" si="15"/>
        <v>UN</v>
      </c>
      <c r="E448" s="12">
        <v>414.60374999999999</v>
      </c>
      <c r="F448" s="13">
        <v>0</v>
      </c>
      <c r="G448" s="14" t="s">
        <v>198</v>
      </c>
    </row>
    <row r="449" spans="1:7" x14ac:dyDescent="0.25">
      <c r="A449" s="34" t="str">
        <f>"GA0050  ALIMEN. LN3045"</f>
        <v>GA0050  ALIMEN. LN3045</v>
      </c>
      <c r="B449" s="2">
        <v>21</v>
      </c>
      <c r="C449" s="2">
        <v>12</v>
      </c>
      <c r="D449" s="11" t="str">
        <f t="shared" si="15"/>
        <v>UN</v>
      </c>
      <c r="E449" s="12">
        <v>217.47</v>
      </c>
      <c r="F449" s="13">
        <v>0</v>
      </c>
      <c r="G449" s="14" t="s">
        <v>198</v>
      </c>
    </row>
    <row r="450" spans="1:7" x14ac:dyDescent="0.25">
      <c r="A450" s="34" t="str">
        <f>"GA0131 CARGA. DL,JN5 5/8"</f>
        <v>GA0131 CARGA. DL,JN5 5/8</v>
      </c>
      <c r="B450" s="2">
        <v>21</v>
      </c>
      <c r="C450" s="2">
        <v>2</v>
      </c>
      <c r="D450" s="11" t="str">
        <f t="shared" si="15"/>
        <v>UN</v>
      </c>
      <c r="E450" s="12">
        <v>1370.9575</v>
      </c>
      <c r="F450" s="13">
        <v>0</v>
      </c>
      <c r="G450" s="14" t="s">
        <v>198</v>
      </c>
    </row>
    <row r="451" spans="1:7" x14ac:dyDescent="0.25">
      <c r="A451" s="34" t="str">
        <f>"GA0140 CARGAD. DL,J5B1/2"</f>
        <v>GA0140 CARGAD. DL,J5B1/2</v>
      </c>
      <c r="B451" s="2">
        <v>21</v>
      </c>
      <c r="C451" s="2">
        <v>2</v>
      </c>
      <c r="D451" s="11" t="str">
        <f t="shared" si="15"/>
        <v>UN</v>
      </c>
      <c r="E451" s="12">
        <v>785.8125</v>
      </c>
      <c r="F451" s="13">
        <v>0</v>
      </c>
      <c r="G451" s="14" t="s">
        <v>198</v>
      </c>
    </row>
    <row r="452" spans="1:7" x14ac:dyDescent="0.25">
      <c r="A452" s="34" t="str">
        <f>"GA0276 ALIMENTADOR PW"</f>
        <v>GA0276 ALIMENTADOR PW</v>
      </c>
      <c r="B452" s="2">
        <v>21</v>
      </c>
      <c r="C452" s="2">
        <v>5</v>
      </c>
      <c r="D452" s="11" t="str">
        <f t="shared" si="15"/>
        <v>UN</v>
      </c>
      <c r="E452" s="12">
        <v>390.29375000000005</v>
      </c>
      <c r="F452" s="13">
        <v>0</v>
      </c>
      <c r="G452" s="14" t="s">
        <v>198</v>
      </c>
    </row>
    <row r="453" spans="1:7" x14ac:dyDescent="0.25">
      <c r="A453" s="34" t="str">
        <f>"GA0339 RAIL ASSY SPS"</f>
        <v>GA0339 RAIL ASSY SPS</v>
      </c>
      <c r="B453" s="2">
        <v>21</v>
      </c>
      <c r="C453" s="2">
        <v>1</v>
      </c>
      <c r="D453" s="11" t="str">
        <f t="shared" si="15"/>
        <v>UN</v>
      </c>
      <c r="E453" s="12">
        <v>53.308750000000003</v>
      </c>
      <c r="F453" s="13">
        <v>0</v>
      </c>
      <c r="G453" s="14" t="s">
        <v>198</v>
      </c>
    </row>
    <row r="454" spans="1:7" x14ac:dyDescent="0.25">
      <c r="A454" s="34" t="str">
        <f>"GA0356 LATE.PISTA SLP20 = GA0369=GA0478"</f>
        <v>GA0356 LATE.PISTA SLP20 = GA0369=GA0478</v>
      </c>
      <c r="B454" s="2">
        <v>21</v>
      </c>
      <c r="C454" s="2">
        <v>12</v>
      </c>
      <c r="D454" s="11" t="str">
        <f t="shared" si="15"/>
        <v>UN</v>
      </c>
      <c r="E454" s="12">
        <v>526.84500000000003</v>
      </c>
      <c r="F454" s="13">
        <v>0</v>
      </c>
      <c r="G454" s="14" t="s">
        <v>198</v>
      </c>
    </row>
    <row r="455" spans="1:7" x14ac:dyDescent="0.25">
      <c r="A455" s="34" t="str">
        <f>"GA0387 ASAMBLE FP25"</f>
        <v>GA0387 ASAMBLE FP25</v>
      </c>
      <c r="B455" s="2">
        <v>21</v>
      </c>
      <c r="C455" s="2">
        <v>3</v>
      </c>
      <c r="D455" s="11" t="str">
        <f t="shared" si="15"/>
        <v>UN</v>
      </c>
      <c r="E455" s="12">
        <v>232.32000000000005</v>
      </c>
      <c r="F455" s="13">
        <v>0</v>
      </c>
      <c r="G455" s="14" t="s">
        <v>198</v>
      </c>
    </row>
    <row r="456" spans="1:7" x14ac:dyDescent="0.25">
      <c r="A456" s="34" t="str">
        <f>"GA0388 ASAMBLE DE CARRIL FP25"</f>
        <v>GA0388 ASAMBLE DE CARRIL FP25</v>
      </c>
      <c r="B456" s="2">
        <v>21</v>
      </c>
      <c r="C456" s="2">
        <v>2</v>
      </c>
      <c r="D456" s="11" t="str">
        <f t="shared" si="15"/>
        <v>UN</v>
      </c>
      <c r="E456" s="12">
        <v>189.33749999999998</v>
      </c>
      <c r="F456" s="13">
        <v>0</v>
      </c>
      <c r="G456" s="14" t="s">
        <v>198</v>
      </c>
    </row>
    <row r="457" spans="1:7" x14ac:dyDescent="0.25">
      <c r="A457" s="34" t="str">
        <f>"GA0418=GC0555 EMP.SC1 CORRUGADA"</f>
        <v>GA0418=GC0555 EMP.SC1 CORRUGADA</v>
      </c>
      <c r="B457" s="2">
        <v>21</v>
      </c>
      <c r="C457" s="2">
        <v>6</v>
      </c>
      <c r="D457" s="11" t="str">
        <f t="shared" si="15"/>
        <v>UN</v>
      </c>
      <c r="E457" s="12">
        <v>497.6400000000001</v>
      </c>
      <c r="F457" s="13">
        <v>0</v>
      </c>
      <c r="G457" s="14" t="s">
        <v>198</v>
      </c>
    </row>
    <row r="458" spans="1:7" x14ac:dyDescent="0.25">
      <c r="A458" s="34" t="str">
        <f>"GA0421"</f>
        <v>GA0421</v>
      </c>
      <c r="B458" s="2">
        <v>21</v>
      </c>
      <c r="C458" s="2">
        <v>1</v>
      </c>
      <c r="D458" s="11" t="str">
        <f t="shared" ref="D458:D521" si="16">"UN"</f>
        <v>UN</v>
      </c>
      <c r="E458" s="12">
        <v>9.7625000000000011</v>
      </c>
      <c r="F458" s="13">
        <v>0</v>
      </c>
      <c r="G458" s="14" t="s">
        <v>198</v>
      </c>
    </row>
    <row r="459" spans="1:7" x14ac:dyDescent="0.25">
      <c r="A459" s="34" t="str">
        <f>"GANCHO METALICO TSK53/13M - TSK14M"</f>
        <v>GANCHO METALICO TSK53/13M - TSK14M</v>
      </c>
      <c r="B459" s="2">
        <v>21</v>
      </c>
      <c r="C459" s="2">
        <v>100</v>
      </c>
      <c r="D459" s="11" t="str">
        <f t="shared" si="16"/>
        <v>UN</v>
      </c>
      <c r="E459" s="12">
        <v>0</v>
      </c>
      <c r="F459" s="13">
        <v>0</v>
      </c>
      <c r="G459" s="14" t="s">
        <v>198</v>
      </c>
    </row>
    <row r="460" spans="1:7" x14ac:dyDescent="0.25">
      <c r="A460" s="34" t="str">
        <f>"GATILLO DE LA VALVULA GUIA"</f>
        <v>GATILLO DE LA VALVULA GUIA</v>
      </c>
      <c r="B460" s="2">
        <v>21</v>
      </c>
      <c r="C460" s="2">
        <v>1</v>
      </c>
      <c r="D460" s="11" t="str">
        <f t="shared" si="16"/>
        <v>UN</v>
      </c>
      <c r="E460" s="12">
        <v>13.021250000000002</v>
      </c>
      <c r="F460" s="13">
        <v>0</v>
      </c>
      <c r="G460" s="14" t="s">
        <v>198</v>
      </c>
    </row>
    <row r="461" spans="1:7" x14ac:dyDescent="0.25">
      <c r="A461" s="34" t="str">
        <f>"GATILLO DE VALVULA"</f>
        <v>GATILLO DE VALVULA</v>
      </c>
      <c r="B461" s="2">
        <v>21</v>
      </c>
      <c r="C461" s="2">
        <v>6</v>
      </c>
      <c r="D461" s="11" t="str">
        <f t="shared" si="16"/>
        <v>UN</v>
      </c>
      <c r="E461" s="12">
        <v>46.942500000000003</v>
      </c>
      <c r="F461" s="13">
        <v>0</v>
      </c>
      <c r="G461" s="14" t="s">
        <v>198</v>
      </c>
    </row>
    <row r="462" spans="1:7" x14ac:dyDescent="0.25">
      <c r="A462" s="34" t="str">
        <f>"GATILLO INTERIOR"</f>
        <v>GATILLO INTERIOR</v>
      </c>
      <c r="B462" s="2">
        <v>21</v>
      </c>
      <c r="C462" s="2">
        <v>1</v>
      </c>
      <c r="D462" s="11" t="str">
        <f t="shared" si="16"/>
        <v>UN</v>
      </c>
      <c r="E462" s="12">
        <v>3.3550000000000004</v>
      </c>
      <c r="F462" s="13">
        <v>0</v>
      </c>
      <c r="G462" s="14" t="s">
        <v>198</v>
      </c>
    </row>
    <row r="463" spans="1:7" x14ac:dyDescent="0.25">
      <c r="A463" s="34" t="str">
        <f>"GATILLO SA MG30"</f>
        <v>GATILLO SA MG30</v>
      </c>
      <c r="B463" s="2">
        <v>21</v>
      </c>
      <c r="C463" s="2">
        <v>2</v>
      </c>
      <c r="D463" s="11" t="str">
        <f t="shared" si="16"/>
        <v>UN</v>
      </c>
      <c r="E463" s="12">
        <v>0</v>
      </c>
      <c r="F463" s="13">
        <v>0</v>
      </c>
      <c r="G463" s="14" t="s">
        <v>198</v>
      </c>
    </row>
    <row r="464" spans="1:7" x14ac:dyDescent="0.25">
      <c r="A464" s="34" t="str">
        <f>"GB0002 MUELLE M.PW"</f>
        <v>GB0002 MUELLE M.PW</v>
      </c>
      <c r="B464" s="2">
        <v>21</v>
      </c>
      <c r="C464" s="2">
        <v>8</v>
      </c>
      <c r="D464" s="11" t="str">
        <f t="shared" si="16"/>
        <v>UN</v>
      </c>
      <c r="E464" s="12">
        <v>24.970000000000002</v>
      </c>
      <c r="F464" s="13">
        <v>0</v>
      </c>
      <c r="G464" s="14" t="s">
        <v>198</v>
      </c>
    </row>
    <row r="465" spans="1:7" x14ac:dyDescent="0.25">
      <c r="A465" s="34" t="str">
        <f>"GB0006 CUBREPISTA MW"</f>
        <v>GB0006 CUBREPISTA MW</v>
      </c>
      <c r="B465" s="2">
        <v>21</v>
      </c>
      <c r="C465" s="2">
        <v>6</v>
      </c>
      <c r="D465" s="11" t="str">
        <f t="shared" si="16"/>
        <v>UN</v>
      </c>
      <c r="E465" s="12">
        <v>174.57000000000005</v>
      </c>
      <c r="F465" s="13">
        <v>0</v>
      </c>
      <c r="G465" s="14" t="s">
        <v>198</v>
      </c>
    </row>
    <row r="466" spans="1:7" x14ac:dyDescent="0.25">
      <c r="A466" s="34" t="str">
        <f>"GB0010 MUELLE FLEJE"</f>
        <v>GB0010 MUELLE FLEJE</v>
      </c>
      <c r="B466" s="2">
        <v>21</v>
      </c>
      <c r="C466" s="2">
        <v>7</v>
      </c>
      <c r="D466" s="11" t="str">
        <f t="shared" si="16"/>
        <v>UN</v>
      </c>
      <c r="E466" s="12">
        <v>60.541250000000005</v>
      </c>
      <c r="F466" s="13">
        <v>0</v>
      </c>
      <c r="G466" s="14" t="s">
        <v>198</v>
      </c>
    </row>
    <row r="467" spans="1:7" x14ac:dyDescent="0.25">
      <c r="A467" s="34" t="str">
        <f>"GB0013 C.CARG. K L N4450"</f>
        <v>GB0013 C.CARG. K L N4450</v>
      </c>
      <c r="B467" s="2">
        <v>21</v>
      </c>
      <c r="C467" s="2">
        <v>1</v>
      </c>
      <c r="D467" s="11" t="str">
        <f t="shared" si="16"/>
        <v>UN</v>
      </c>
      <c r="E467" s="12">
        <v>16.637500000000003</v>
      </c>
      <c r="F467" s="13">
        <v>0</v>
      </c>
      <c r="G467" s="14" t="s">
        <v>198</v>
      </c>
    </row>
    <row r="468" spans="1:7" x14ac:dyDescent="0.25">
      <c r="A468" s="34" t="str">
        <f>"GB0067 RODILLO SN-4"</f>
        <v>GB0067 RODILLO SN-4</v>
      </c>
      <c r="B468" s="2">
        <v>21</v>
      </c>
      <c r="C468" s="2">
        <v>8</v>
      </c>
      <c r="D468" s="11" t="str">
        <f t="shared" si="16"/>
        <v>UN</v>
      </c>
      <c r="E468" s="12">
        <v>52.140000000000008</v>
      </c>
      <c r="F468" s="13">
        <v>0</v>
      </c>
      <c r="G468" s="14" t="s">
        <v>198</v>
      </c>
    </row>
    <row r="469" spans="1:7" x14ac:dyDescent="0.25">
      <c r="A469" s="34" t="str">
        <f>"GB0084 PLACA LS"</f>
        <v>GB0084 PLACA LS</v>
      </c>
      <c r="B469" s="2">
        <v>21</v>
      </c>
      <c r="C469" s="2">
        <v>10</v>
      </c>
      <c r="D469" s="11" t="str">
        <f t="shared" si="16"/>
        <v>UN</v>
      </c>
      <c r="E469" s="12">
        <v>370.28750000000002</v>
      </c>
      <c r="F469" s="13">
        <v>0</v>
      </c>
      <c r="G469" s="14" t="s">
        <v>198</v>
      </c>
    </row>
    <row r="470" spans="1:7" x14ac:dyDescent="0.25">
      <c r="A470" s="34" t="str">
        <f>"GB0086 U\ETA LS"</f>
        <v>GB0086 U\ETA LS</v>
      </c>
      <c r="B470" s="2">
        <v>21</v>
      </c>
      <c r="C470" s="2">
        <v>11</v>
      </c>
      <c r="D470" s="11" t="str">
        <f t="shared" si="16"/>
        <v>UN</v>
      </c>
      <c r="E470" s="12">
        <v>155.33374999999998</v>
      </c>
      <c r="F470" s="13">
        <v>0</v>
      </c>
      <c r="G470" s="14" t="s">
        <v>198</v>
      </c>
    </row>
    <row r="471" spans="1:7" x14ac:dyDescent="0.25">
      <c r="A471" s="34" t="str">
        <f>"GB0110 ALIMENT. JG B-L"</f>
        <v>GB0110 ALIMENT. JG B-L</v>
      </c>
      <c r="B471" s="2">
        <v>21</v>
      </c>
      <c r="C471" s="2">
        <v>9</v>
      </c>
      <c r="D471" s="11" t="str">
        <f t="shared" si="16"/>
        <v>UN</v>
      </c>
      <c r="E471" s="12">
        <v>255.42000000000002</v>
      </c>
      <c r="F471" s="13">
        <v>0</v>
      </c>
      <c r="G471" s="14" t="s">
        <v>198</v>
      </c>
    </row>
    <row r="472" spans="1:7" x14ac:dyDescent="0.25">
      <c r="A472" s="34" t="str">
        <f>"GB0111 ALIMTA. J-J5 B-L"</f>
        <v>GB0111 ALIMTA. J-J5 B-L</v>
      </c>
      <c r="B472" s="2">
        <v>21</v>
      </c>
      <c r="C472" s="2">
        <v>21</v>
      </c>
      <c r="D472" s="11" t="str">
        <f t="shared" si="16"/>
        <v>UN</v>
      </c>
      <c r="E472" s="12">
        <v>714.65625</v>
      </c>
      <c r="F472" s="13">
        <v>0</v>
      </c>
      <c r="G472" s="14" t="s">
        <v>198</v>
      </c>
    </row>
    <row r="473" spans="1:7" x14ac:dyDescent="0.25">
      <c r="A473" s="34" t="str">
        <f>"GB0167  ABRAZADERA LS"</f>
        <v>GB0167  ABRAZADERA LS</v>
      </c>
      <c r="B473" s="2">
        <v>21</v>
      </c>
      <c r="C473" s="2">
        <v>4</v>
      </c>
      <c r="D473" s="11" t="str">
        <f t="shared" si="16"/>
        <v>UN</v>
      </c>
      <c r="E473" s="12">
        <v>32.56</v>
      </c>
      <c r="F473" s="13">
        <v>0</v>
      </c>
      <c r="G473" s="14" t="s">
        <v>198</v>
      </c>
    </row>
    <row r="474" spans="1:7" x14ac:dyDescent="0.25">
      <c r="A474" s="34" t="str">
        <f>"GB0208 SOPOR. CUBRPIS.PW"</f>
        <v>GB0208 SOPOR. CUBRPIS.PW</v>
      </c>
      <c r="B474" s="2">
        <v>21</v>
      </c>
      <c r="C474" s="2">
        <v>3</v>
      </c>
      <c r="D474" s="11" t="str">
        <f t="shared" si="16"/>
        <v>UN</v>
      </c>
      <c r="E474" s="12">
        <v>92.523750000000007</v>
      </c>
      <c r="F474" s="13">
        <v>0</v>
      </c>
      <c r="G474" s="14" t="s">
        <v>198</v>
      </c>
    </row>
    <row r="475" spans="1:7" x14ac:dyDescent="0.25">
      <c r="A475" s="34" t="str">
        <f>"GB0216 PASAD. MUE.SN2"</f>
        <v>GB0216 PASAD. MUE.SN2</v>
      </c>
      <c r="B475" s="2">
        <v>21</v>
      </c>
      <c r="C475" s="2">
        <v>12</v>
      </c>
      <c r="D475" s="11" t="str">
        <f t="shared" si="16"/>
        <v>UN</v>
      </c>
      <c r="E475" s="12">
        <v>26.564999999999998</v>
      </c>
      <c r="F475" s="13">
        <v>0</v>
      </c>
      <c r="G475" s="14" t="s">
        <v>198</v>
      </c>
    </row>
    <row r="476" spans="1:7" x14ac:dyDescent="0.25">
      <c r="A476" s="34" t="str">
        <f>"GB0237  PI.SJS5/8-3-5-80"</f>
        <v>GB0237  PI.SJS5/8-3-5-80</v>
      </c>
      <c r="B476" s="2">
        <v>21</v>
      </c>
      <c r="C476" s="2">
        <v>3</v>
      </c>
      <c r="D476" s="11" t="str">
        <f t="shared" si="16"/>
        <v>UN</v>
      </c>
      <c r="E476" s="12">
        <v>418.56374999999997</v>
      </c>
      <c r="F476" s="13">
        <v>0</v>
      </c>
      <c r="G476" s="14" t="s">
        <v>198</v>
      </c>
    </row>
    <row r="477" spans="1:7" x14ac:dyDescent="0.25">
      <c r="A477" s="34" t="str">
        <f>"GB0243  PISTA SJS 5/8 G"</f>
        <v>GB0243  PISTA SJS 5/8 G</v>
      </c>
      <c r="B477" s="2">
        <v>21</v>
      </c>
      <c r="C477" s="2">
        <v>2</v>
      </c>
      <c r="D477" s="11" t="str">
        <f t="shared" si="16"/>
        <v>UN</v>
      </c>
      <c r="E477" s="12">
        <v>164.3125</v>
      </c>
      <c r="F477" s="13">
        <v>0</v>
      </c>
      <c r="G477" s="14" t="s">
        <v>198</v>
      </c>
    </row>
    <row r="478" spans="1:7" x14ac:dyDescent="0.25">
      <c r="A478" s="34" t="str">
        <f>"GB0246  EMPUJ.SJS G 5/8"</f>
        <v>GB0246  EMPUJ.SJS G 5/8</v>
      </c>
      <c r="B478" s="2">
        <v>21</v>
      </c>
      <c r="C478" s="2">
        <v>1</v>
      </c>
      <c r="D478" s="11" t="str">
        <f t="shared" si="16"/>
        <v>UN</v>
      </c>
      <c r="E478" s="12">
        <v>22.261250000000004</v>
      </c>
      <c r="F478" s="13">
        <v>0</v>
      </c>
      <c r="G478" s="14" t="s">
        <v>198</v>
      </c>
    </row>
    <row r="479" spans="1:7" x14ac:dyDescent="0.25">
      <c r="A479" s="34" t="str">
        <f>"GB0247 EMP.SJS-3/16 3-5"</f>
        <v>GB0247 EMP.SJS-3/16 3-5</v>
      </c>
      <c r="B479" s="2">
        <v>21</v>
      </c>
      <c r="C479" s="2">
        <v>30</v>
      </c>
      <c r="D479" s="11" t="str">
        <f t="shared" si="16"/>
        <v>UN</v>
      </c>
      <c r="E479" s="12">
        <v>754.05000000000018</v>
      </c>
      <c r="F479" s="13">
        <v>0</v>
      </c>
      <c r="G479" s="14" t="s">
        <v>198</v>
      </c>
    </row>
    <row r="480" spans="1:7" x14ac:dyDescent="0.25">
      <c r="A480" s="34" t="str">
        <f>"GB0249  EMPUJ.SJS 3 5/8"</f>
        <v>GB0249  EMPUJ.SJS 3 5/8</v>
      </c>
      <c r="B480" s="2">
        <v>21</v>
      </c>
      <c r="C480" s="2">
        <v>3</v>
      </c>
      <c r="D480" s="11" t="str">
        <f t="shared" si="16"/>
        <v>UN</v>
      </c>
      <c r="E480" s="12">
        <v>75.528749999999988</v>
      </c>
      <c r="F480" s="13">
        <v>0</v>
      </c>
      <c r="G480" s="14" t="s">
        <v>198</v>
      </c>
    </row>
    <row r="481" spans="1:7" x14ac:dyDescent="0.25">
      <c r="A481" s="34" t="str">
        <f>"GB0250  CUBREPIS.SJS G"</f>
        <v>GB0250  CUBREPIS.SJS G</v>
      </c>
      <c r="B481" s="2">
        <v>21</v>
      </c>
      <c r="C481" s="2">
        <v>1</v>
      </c>
      <c r="D481" s="11" t="str">
        <f t="shared" si="16"/>
        <v>UN</v>
      </c>
      <c r="E481" s="12">
        <v>19.8825</v>
      </c>
      <c r="F481" s="13">
        <v>0</v>
      </c>
      <c r="G481" s="14" t="s">
        <v>198</v>
      </c>
    </row>
    <row r="482" spans="1:7" x14ac:dyDescent="0.25">
      <c r="A482" s="34" t="str">
        <f>"GB0252"</f>
        <v>GB0252</v>
      </c>
      <c r="B482" s="2">
        <v>21</v>
      </c>
      <c r="C482" s="2">
        <v>6</v>
      </c>
      <c r="D482" s="11" t="str">
        <f t="shared" si="16"/>
        <v>UN</v>
      </c>
      <c r="E482" s="12">
        <v>107.4975</v>
      </c>
      <c r="F482" s="13">
        <v>0</v>
      </c>
      <c r="G482" s="14" t="s">
        <v>198</v>
      </c>
    </row>
    <row r="483" spans="1:7" x14ac:dyDescent="0.25">
      <c r="A483" s="34" t="str">
        <f>"GB0256 CHAPA PISTA SPS"</f>
        <v>GB0256 CHAPA PISTA SPS</v>
      </c>
      <c r="B483" s="2">
        <v>21</v>
      </c>
      <c r="C483" s="2">
        <v>2</v>
      </c>
      <c r="D483" s="11" t="str">
        <f t="shared" si="16"/>
        <v>UN</v>
      </c>
      <c r="E483" s="12">
        <v>68.25500000000001</v>
      </c>
      <c r="F483" s="13">
        <v>0</v>
      </c>
      <c r="G483" s="14" t="s">
        <v>198</v>
      </c>
    </row>
    <row r="484" spans="1:7" x14ac:dyDescent="0.25">
      <c r="A484" s="34" t="str">
        <f>"GB0317"</f>
        <v>GB0317</v>
      </c>
      <c r="B484" s="2">
        <v>21</v>
      </c>
      <c r="C484" s="2">
        <v>5</v>
      </c>
      <c r="D484" s="11" t="str">
        <f t="shared" si="16"/>
        <v>UN</v>
      </c>
      <c r="E484" s="12">
        <v>75.418750000000003</v>
      </c>
      <c r="F484" s="13">
        <v>0</v>
      </c>
      <c r="G484" s="14" t="s">
        <v>198</v>
      </c>
    </row>
    <row r="485" spans="1:7" x14ac:dyDescent="0.25">
      <c r="A485" s="34" t="str">
        <f>"GB0329"</f>
        <v>GB0329</v>
      </c>
      <c r="B485" s="2">
        <v>21</v>
      </c>
      <c r="C485" s="2">
        <v>3</v>
      </c>
      <c r="D485" s="11" t="str">
        <f t="shared" si="16"/>
        <v>UN</v>
      </c>
      <c r="E485" s="12">
        <v>65.257499999999993</v>
      </c>
      <c r="F485" s="13">
        <v>0</v>
      </c>
      <c r="G485" s="14" t="s">
        <v>198</v>
      </c>
    </row>
    <row r="486" spans="1:7" x14ac:dyDescent="0.25">
      <c r="A486" s="34" t="str">
        <f>"GB0331 ROLDA.MUEL.M1 M2"</f>
        <v>GB0331 ROLDA.MUEL.M1 M2</v>
      </c>
      <c r="B486" s="2">
        <v>21</v>
      </c>
      <c r="C486" s="2">
        <v>1</v>
      </c>
      <c r="D486" s="11" t="str">
        <f t="shared" si="16"/>
        <v>UN</v>
      </c>
      <c r="E486" s="12">
        <v>7.74125</v>
      </c>
      <c r="F486" s="13">
        <v>0</v>
      </c>
      <c r="G486" s="14" t="s">
        <v>198</v>
      </c>
    </row>
    <row r="487" spans="1:7" x14ac:dyDescent="0.25">
      <c r="A487" s="34" t="str">
        <f>"GB0359=GB0251"</f>
        <v>GB0359=GB0251</v>
      </c>
      <c r="B487" s="2">
        <v>21</v>
      </c>
      <c r="C487" s="2">
        <v>17</v>
      </c>
      <c r="D487" s="11" t="str">
        <f t="shared" si="16"/>
        <v>UN</v>
      </c>
      <c r="E487" s="12">
        <v>334.49625000000003</v>
      </c>
      <c r="F487" s="13">
        <v>0</v>
      </c>
      <c r="G487" s="14" t="s">
        <v>198</v>
      </c>
    </row>
    <row r="488" spans="1:7" x14ac:dyDescent="0.25">
      <c r="A488" s="34" t="str">
        <f>"GB0419 ALIMENTADOR FP25"</f>
        <v>GB0419 ALIMENTADOR FP25</v>
      </c>
      <c r="B488" s="2">
        <v>21</v>
      </c>
      <c r="C488" s="2">
        <v>19</v>
      </c>
      <c r="D488" s="11" t="str">
        <f t="shared" si="16"/>
        <v>UN</v>
      </c>
      <c r="E488" s="12">
        <v>280.58250000000004</v>
      </c>
      <c r="F488" s="13">
        <v>0</v>
      </c>
      <c r="G488" s="14" t="s">
        <v>198</v>
      </c>
    </row>
    <row r="489" spans="1:7" x14ac:dyDescent="0.25">
      <c r="A489" s="34" t="str">
        <f>"GB0784EU"</f>
        <v>GB0784EU</v>
      </c>
      <c r="B489" s="2">
        <v>21</v>
      </c>
      <c r="C489" s="2">
        <v>1</v>
      </c>
      <c r="D489" s="11" t="str">
        <f t="shared" si="16"/>
        <v>UN</v>
      </c>
      <c r="E489" s="12">
        <v>19.951250000000002</v>
      </c>
      <c r="F489" s="13">
        <v>0</v>
      </c>
      <c r="G489" s="14" t="s">
        <v>198</v>
      </c>
    </row>
    <row r="490" spans="1:7" x14ac:dyDescent="0.25">
      <c r="A490" s="34" t="str">
        <f>"GC0287 PLET.PIS.M2 SUJ.T"</f>
        <v>GC0287 PLET.PIS.M2 SUJ.T</v>
      </c>
      <c r="B490" s="2">
        <v>21</v>
      </c>
      <c r="C490" s="2">
        <v>5</v>
      </c>
      <c r="D490" s="11" t="str">
        <f t="shared" si="16"/>
        <v>UN</v>
      </c>
      <c r="E490" s="12">
        <v>12.375000000000002</v>
      </c>
      <c r="F490" s="13">
        <v>0</v>
      </c>
      <c r="G490" s="14" t="s">
        <v>198</v>
      </c>
    </row>
    <row r="491" spans="1:7" x14ac:dyDescent="0.25">
      <c r="A491" s="34" t="str">
        <f>"GC0293  ASIDER.PIS.MII"</f>
        <v>GC0293  ASIDER.PIS.MII</v>
      </c>
      <c r="B491" s="2">
        <v>21</v>
      </c>
      <c r="C491" s="2">
        <v>1</v>
      </c>
      <c r="D491" s="11" t="str">
        <f t="shared" si="16"/>
        <v>UN</v>
      </c>
      <c r="E491" s="12">
        <v>17.077500000000004</v>
      </c>
      <c r="F491" s="13">
        <v>0</v>
      </c>
      <c r="G491" s="14" t="s">
        <v>198</v>
      </c>
    </row>
    <row r="492" spans="1:7" x14ac:dyDescent="0.25">
      <c r="A492" s="34" t="str">
        <f>"GC0294 SUJ.PIS.CARCA.M2"</f>
        <v>GC0294 SUJ.PIS.CARCA.M2</v>
      </c>
      <c r="B492" s="2">
        <v>21</v>
      </c>
      <c r="C492" s="2">
        <v>2</v>
      </c>
      <c r="D492" s="11" t="str">
        <f t="shared" si="16"/>
        <v>UN</v>
      </c>
      <c r="E492" s="12">
        <v>38.142499999999998</v>
      </c>
      <c r="F492" s="13">
        <v>0</v>
      </c>
      <c r="G492" s="14" t="s">
        <v>198</v>
      </c>
    </row>
    <row r="493" spans="1:7" x14ac:dyDescent="0.25">
      <c r="A493" s="34" t="str">
        <f>"GC0319 PARTE PIS SF1"</f>
        <v>GC0319 PARTE PIS SF1</v>
      </c>
      <c r="B493" s="2">
        <v>21</v>
      </c>
      <c r="C493" s="2">
        <v>2</v>
      </c>
      <c r="D493" s="11" t="str">
        <f t="shared" si="16"/>
        <v>UN</v>
      </c>
      <c r="E493" s="12">
        <v>27.114999999999998</v>
      </c>
      <c r="F493" s="13">
        <v>0</v>
      </c>
      <c r="G493" s="14" t="s">
        <v>198</v>
      </c>
    </row>
    <row r="494" spans="1:7" x14ac:dyDescent="0.25">
      <c r="A494" s="34" t="str">
        <f>"GC0331  EMP.SKSG4450-556"</f>
        <v>GC0331  EMP.SKSG4450-556</v>
      </c>
      <c r="B494" s="2">
        <v>21</v>
      </c>
      <c r="C494" s="2">
        <v>19</v>
      </c>
      <c r="D494" s="11" t="str">
        <f t="shared" si="16"/>
        <v>UN</v>
      </c>
      <c r="E494" s="12">
        <v>835.47750000000008</v>
      </c>
      <c r="F494" s="13">
        <v>0</v>
      </c>
      <c r="G494" s="14" t="s">
        <v>198</v>
      </c>
    </row>
    <row r="495" spans="1:7" x14ac:dyDescent="0.25">
      <c r="A495" s="34" t="str">
        <f>"GC0342  EJE RODILLO JN"</f>
        <v>GC0342  EJE RODILLO JN</v>
      </c>
      <c r="B495" s="2">
        <v>21</v>
      </c>
      <c r="C495" s="2">
        <v>11</v>
      </c>
      <c r="D495" s="11" t="str">
        <f t="shared" si="16"/>
        <v>UN</v>
      </c>
      <c r="E495" s="12">
        <v>20.418750000000003</v>
      </c>
      <c r="F495" s="13">
        <v>0</v>
      </c>
      <c r="G495" s="14" t="s">
        <v>198</v>
      </c>
    </row>
    <row r="496" spans="1:7" x14ac:dyDescent="0.25">
      <c r="A496" s="34" t="str">
        <f>"GC0344  RODILLO JN"</f>
        <v>GC0344  RODILLO JN</v>
      </c>
      <c r="B496" s="2">
        <v>21</v>
      </c>
      <c r="C496" s="2">
        <v>18</v>
      </c>
      <c r="D496" s="11" t="str">
        <f t="shared" si="16"/>
        <v>UN</v>
      </c>
      <c r="E496" s="12">
        <v>60.39</v>
      </c>
      <c r="F496" s="13">
        <v>0</v>
      </c>
      <c r="G496" s="14" t="s">
        <v>198</v>
      </c>
    </row>
    <row r="497" spans="1:7" x14ac:dyDescent="0.25">
      <c r="A497" s="34" t="str">
        <f>"GC0386 CUBREPISTA SPS"</f>
        <v>GC0386 CUBREPISTA SPS</v>
      </c>
      <c r="B497" s="2">
        <v>21</v>
      </c>
      <c r="C497" s="2">
        <v>1</v>
      </c>
      <c r="D497" s="11" t="str">
        <f t="shared" si="16"/>
        <v>UN</v>
      </c>
      <c r="E497" s="12">
        <v>20.487500000000001</v>
      </c>
      <c r="F497" s="13">
        <v>0</v>
      </c>
      <c r="G497" s="14" t="s">
        <v>198</v>
      </c>
    </row>
    <row r="498" spans="1:7" x14ac:dyDescent="0.25">
      <c r="A498" s="34" t="str">
        <f>"GC0389"</f>
        <v>GC0389</v>
      </c>
      <c r="B498" s="2">
        <v>21</v>
      </c>
      <c r="C498" s="2">
        <v>4</v>
      </c>
      <c r="D498" s="11" t="str">
        <f t="shared" si="16"/>
        <v>UN</v>
      </c>
      <c r="E498" s="12">
        <v>62.315000000000005</v>
      </c>
      <c r="F498" s="13">
        <v>0</v>
      </c>
      <c r="G498" s="14" t="s">
        <v>198</v>
      </c>
    </row>
    <row r="499" spans="1:7" x14ac:dyDescent="0.25">
      <c r="A499" s="34" t="str">
        <f>"GC0393 CHAPA PISTA SPS"</f>
        <v>GC0393 CHAPA PISTA SPS</v>
      </c>
      <c r="B499" s="2">
        <v>21</v>
      </c>
      <c r="C499" s="2">
        <v>2</v>
      </c>
      <c r="D499" s="11" t="str">
        <f t="shared" si="16"/>
        <v>UN</v>
      </c>
      <c r="E499" s="12">
        <v>56.292499999999997</v>
      </c>
      <c r="F499" s="13">
        <v>0</v>
      </c>
      <c r="G499" s="14" t="s">
        <v>198</v>
      </c>
    </row>
    <row r="500" spans="1:7" x14ac:dyDescent="0.25">
      <c r="A500" s="34" t="str">
        <f>"GC0537 TRAS.PISTA SLP20"</f>
        <v>GC0537 TRAS.PISTA SLP20</v>
      </c>
      <c r="B500" s="2">
        <v>21</v>
      </c>
      <c r="C500" s="2">
        <v>1</v>
      </c>
      <c r="D500" s="11" t="str">
        <f t="shared" si="16"/>
        <v>UN</v>
      </c>
      <c r="E500" s="12">
        <v>0</v>
      </c>
      <c r="F500" s="13">
        <v>0</v>
      </c>
      <c r="G500" s="14" t="s">
        <v>198</v>
      </c>
    </row>
    <row r="501" spans="1:7" x14ac:dyDescent="0.25">
      <c r="A501" s="34" t="str">
        <f>"GC0553 ARANDELA PIS.SPS"</f>
        <v>GC0553 ARANDELA PIS.SPS</v>
      </c>
      <c r="B501" s="2">
        <v>21</v>
      </c>
      <c r="C501" s="2">
        <v>3</v>
      </c>
      <c r="D501" s="11" t="str">
        <f t="shared" si="16"/>
        <v>UN</v>
      </c>
      <c r="E501" s="12">
        <v>21.491250000000001</v>
      </c>
      <c r="F501" s="13">
        <v>0</v>
      </c>
      <c r="G501" s="14" t="s">
        <v>198</v>
      </c>
    </row>
    <row r="502" spans="1:7" x14ac:dyDescent="0.25">
      <c r="A502" s="34" t="str">
        <f>"GC0565 EMPUJADOR SLS20 N"</f>
        <v>GC0565 EMPUJADOR SLS20 N</v>
      </c>
      <c r="B502" s="2">
        <v>21</v>
      </c>
      <c r="C502" s="2">
        <v>15</v>
      </c>
      <c r="D502" s="11" t="str">
        <f t="shared" si="16"/>
        <v>UN</v>
      </c>
      <c r="E502" s="12">
        <v>207.28125000000003</v>
      </c>
      <c r="F502" s="13">
        <v>0</v>
      </c>
      <c r="G502" s="14" t="s">
        <v>198</v>
      </c>
    </row>
    <row r="503" spans="1:7" x14ac:dyDescent="0.25">
      <c r="A503" s="34" t="str">
        <f>"GC0568 GUIA SLS20 N"</f>
        <v>GC0568 GUIA SLS20 N</v>
      </c>
      <c r="B503" s="2">
        <v>21</v>
      </c>
      <c r="C503" s="2">
        <v>3</v>
      </c>
      <c r="D503" s="11" t="str">
        <f t="shared" si="16"/>
        <v>UN</v>
      </c>
      <c r="E503" s="12">
        <v>34.856250000000003</v>
      </c>
      <c r="F503" s="13">
        <v>0</v>
      </c>
      <c r="G503" s="14" t="s">
        <v>198</v>
      </c>
    </row>
    <row r="504" spans="1:7" x14ac:dyDescent="0.25">
      <c r="A504" s="34" t="str">
        <f>"GC0586"</f>
        <v>GC0586</v>
      </c>
      <c r="B504" s="2">
        <v>21</v>
      </c>
      <c r="C504" s="2">
        <v>3</v>
      </c>
      <c r="D504" s="11" t="str">
        <f t="shared" si="16"/>
        <v>UN</v>
      </c>
      <c r="E504" s="12">
        <v>0</v>
      </c>
      <c r="F504" s="13">
        <v>0</v>
      </c>
      <c r="G504" s="14" t="s">
        <v>198</v>
      </c>
    </row>
    <row r="505" spans="1:7" x14ac:dyDescent="0.25">
      <c r="A505" s="34" t="str">
        <f>"GC0604  SUP.PISTA MII"</f>
        <v>GC0604  SUP.PISTA MII</v>
      </c>
      <c r="B505" s="2">
        <v>21</v>
      </c>
      <c r="C505" s="2">
        <v>4</v>
      </c>
      <c r="D505" s="11" t="str">
        <f t="shared" si="16"/>
        <v>UN</v>
      </c>
      <c r="E505" s="12">
        <v>182.16</v>
      </c>
      <c r="F505" s="13">
        <v>0</v>
      </c>
      <c r="G505" s="14" t="s">
        <v>198</v>
      </c>
    </row>
    <row r="506" spans="1:7" x14ac:dyDescent="0.25">
      <c r="A506" s="34" t="str">
        <f>"GC0706 CARRIL FP25"</f>
        <v>GC0706 CARRIL FP25</v>
      </c>
      <c r="B506" s="2">
        <v>21</v>
      </c>
      <c r="C506" s="2">
        <v>13</v>
      </c>
      <c r="D506" s="11" t="str">
        <f t="shared" si="16"/>
        <v>UN</v>
      </c>
      <c r="E506" s="12">
        <v>249.17750000000001</v>
      </c>
      <c r="F506" s="13">
        <v>0</v>
      </c>
      <c r="G506" s="14" t="s">
        <v>198</v>
      </c>
    </row>
    <row r="507" spans="1:7" x14ac:dyDescent="0.25">
      <c r="A507" s="34" t="str">
        <f>"GC0715 RAIL PISTA PW"</f>
        <v>GC0715 RAIL PISTA PW</v>
      </c>
      <c r="B507" s="2">
        <v>21</v>
      </c>
      <c r="C507" s="2">
        <v>1</v>
      </c>
      <c r="D507" s="11" t="str">
        <f t="shared" si="16"/>
        <v>UN</v>
      </c>
      <c r="E507" s="12">
        <v>66.33</v>
      </c>
      <c r="F507" s="13">
        <v>0</v>
      </c>
      <c r="G507" s="14" t="s">
        <v>198</v>
      </c>
    </row>
    <row r="508" spans="1:7" x14ac:dyDescent="0.25">
      <c r="A508" s="34" t="str">
        <f>"GC0817 SOPORTE PISTA SFW10XP (D.L.)"</f>
        <v>GC0817 SOPORTE PISTA SFW10XP (D.L.)</v>
      </c>
      <c r="B508" s="2">
        <v>21</v>
      </c>
      <c r="C508" s="2">
        <v>12</v>
      </c>
      <c r="D508" s="11" t="str">
        <f t="shared" si="16"/>
        <v>UN</v>
      </c>
      <c r="E508" s="12">
        <v>782.75999999999988</v>
      </c>
      <c r="F508" s="13">
        <v>0</v>
      </c>
      <c r="G508" s="14" t="s">
        <v>198</v>
      </c>
    </row>
    <row r="509" spans="1:7" x14ac:dyDescent="0.25">
      <c r="A509" s="34" t="str">
        <f>"GC0933 PW200"</f>
        <v>GC0933 PW200</v>
      </c>
      <c r="B509" s="2">
        <v>21</v>
      </c>
      <c r="C509" s="2">
        <v>1</v>
      </c>
      <c r="D509" s="11" t="str">
        <f t="shared" si="16"/>
        <v>UN</v>
      </c>
      <c r="E509" s="12">
        <v>22.838750000000005</v>
      </c>
      <c r="F509" s="13">
        <v>0</v>
      </c>
      <c r="G509" s="14" t="s">
        <v>198</v>
      </c>
    </row>
    <row r="510" spans="1:7" x14ac:dyDescent="0.25">
      <c r="A510" s="34" t="str">
        <f>"GF0018"</f>
        <v>GF0018</v>
      </c>
      <c r="B510" s="2">
        <v>21</v>
      </c>
      <c r="C510" s="2">
        <v>2</v>
      </c>
      <c r="D510" s="11" t="str">
        <f t="shared" si="16"/>
        <v>UN</v>
      </c>
      <c r="E510" s="12">
        <v>16.884999999999998</v>
      </c>
      <c r="F510" s="13">
        <v>0</v>
      </c>
      <c r="G510" s="14" t="s">
        <v>198</v>
      </c>
    </row>
    <row r="511" spans="1:7" x14ac:dyDescent="0.25">
      <c r="A511" s="34" t="str">
        <f>"GF0025 AMORTIGUADOR"</f>
        <v>GF0025 AMORTIGUADOR</v>
      </c>
      <c r="B511" s="2">
        <v>21</v>
      </c>
      <c r="C511" s="2">
        <v>8</v>
      </c>
      <c r="D511" s="11" t="str">
        <f t="shared" si="16"/>
        <v>UN</v>
      </c>
      <c r="E511" s="12">
        <v>22.550000000000004</v>
      </c>
      <c r="F511" s="13">
        <v>0</v>
      </c>
      <c r="G511" s="14" t="s">
        <v>198</v>
      </c>
    </row>
    <row r="512" spans="1:7" x14ac:dyDescent="0.25">
      <c r="A512" s="34" t="str">
        <f>"GF0041 CARRIL"</f>
        <v>GF0041 CARRIL</v>
      </c>
      <c r="B512" s="2">
        <v>21</v>
      </c>
      <c r="C512" s="2">
        <v>3</v>
      </c>
      <c r="D512" s="11" t="str">
        <f t="shared" si="16"/>
        <v>UN</v>
      </c>
      <c r="E512" s="12">
        <v>27.183750000000003</v>
      </c>
      <c r="F512" s="13">
        <v>0</v>
      </c>
      <c r="G512" s="14" t="s">
        <v>198</v>
      </c>
    </row>
    <row r="513" spans="1:7" x14ac:dyDescent="0.25">
      <c r="A513" s="34" t="str">
        <f>"GF0083"</f>
        <v>GF0083</v>
      </c>
      <c r="B513" s="2">
        <v>21</v>
      </c>
      <c r="C513" s="2">
        <v>4</v>
      </c>
      <c r="D513" s="11" t="str">
        <f t="shared" si="16"/>
        <v>UN</v>
      </c>
      <c r="E513" s="12">
        <v>77.66</v>
      </c>
      <c r="F513" s="13">
        <v>0</v>
      </c>
      <c r="G513" s="14" t="s">
        <v>198</v>
      </c>
    </row>
    <row r="514" spans="1:7" x14ac:dyDescent="0.25">
      <c r="A514" s="34" t="str">
        <f>"GH0002  EMPUJADOR SFN I"</f>
        <v>GH0002  EMPUJADOR SFN I</v>
      </c>
      <c r="B514" s="2">
        <v>21</v>
      </c>
      <c r="C514" s="2">
        <v>4</v>
      </c>
      <c r="D514" s="11" t="str">
        <f t="shared" si="16"/>
        <v>UN</v>
      </c>
      <c r="E514" s="12">
        <v>173.52500000000003</v>
      </c>
      <c r="F514" s="13">
        <v>0</v>
      </c>
      <c r="G514" s="14" t="s">
        <v>198</v>
      </c>
    </row>
    <row r="515" spans="1:7" x14ac:dyDescent="0.25">
      <c r="A515" s="34" t="str">
        <f>"GOMA PROTECCION SEGURO"</f>
        <v>GOMA PROTECCION SEGURO</v>
      </c>
      <c r="B515" s="2">
        <v>21</v>
      </c>
      <c r="C515" s="2">
        <v>9</v>
      </c>
      <c r="D515" s="11" t="str">
        <f t="shared" si="16"/>
        <v>UN</v>
      </c>
      <c r="E515" s="12">
        <v>167.06250000000003</v>
      </c>
      <c r="F515" s="13">
        <v>0</v>
      </c>
      <c r="G515" s="14" t="s">
        <v>198</v>
      </c>
    </row>
    <row r="516" spans="1:7" x14ac:dyDescent="0.25">
      <c r="A516" s="34" t="str">
        <f>"GUIA"</f>
        <v>GUIA</v>
      </c>
      <c r="B516" s="2">
        <v>21</v>
      </c>
      <c r="C516" s="2">
        <v>2</v>
      </c>
      <c r="D516" s="11" t="str">
        <f t="shared" si="16"/>
        <v>UN</v>
      </c>
      <c r="E516" s="12">
        <v>54.587500000000006</v>
      </c>
      <c r="F516" s="13">
        <v>0</v>
      </c>
      <c r="G516" s="14" t="s">
        <v>198</v>
      </c>
    </row>
    <row r="517" spans="1:7" x14ac:dyDescent="0.25">
      <c r="A517" s="34" t="str">
        <f>"GUIA DE EMPUJE"</f>
        <v>GUIA DE EMPUJE</v>
      </c>
      <c r="B517" s="2">
        <v>21</v>
      </c>
      <c r="C517" s="2">
        <v>2</v>
      </c>
      <c r="D517" s="11" t="str">
        <f t="shared" si="16"/>
        <v>UN</v>
      </c>
      <c r="E517" s="12">
        <v>37.125000000000007</v>
      </c>
      <c r="F517" s="13">
        <v>0</v>
      </c>
      <c r="G517" s="14" t="s">
        <v>198</v>
      </c>
    </row>
    <row r="518" spans="1:7" x14ac:dyDescent="0.25">
      <c r="A518" s="34" t="str">
        <f>"H0055  SHF15"</f>
        <v>H0055  SHF15</v>
      </c>
      <c r="B518" s="2">
        <v>21</v>
      </c>
      <c r="C518" s="2">
        <v>6</v>
      </c>
      <c r="D518" s="11" t="str">
        <f t="shared" si="16"/>
        <v>UN</v>
      </c>
      <c r="E518" s="12">
        <v>559.76250000000005</v>
      </c>
      <c r="F518" s="13">
        <v>0</v>
      </c>
      <c r="G518" s="14" t="s">
        <v>198</v>
      </c>
    </row>
    <row r="519" spans="1:7" x14ac:dyDescent="0.25">
      <c r="A519" s="34" t="str">
        <f>"H0108 BASE PLASTICO SHF15"</f>
        <v>H0108 BASE PLASTICO SHF15</v>
      </c>
      <c r="B519" s="2">
        <v>21</v>
      </c>
      <c r="C519" s="2">
        <v>1</v>
      </c>
      <c r="D519" s="11" t="str">
        <f t="shared" si="16"/>
        <v>UN</v>
      </c>
      <c r="E519" s="12">
        <v>46.378750000000004</v>
      </c>
      <c r="F519" s="13">
        <v>0</v>
      </c>
      <c r="G519" s="14" t="s">
        <v>198</v>
      </c>
    </row>
    <row r="520" spans="1:7" x14ac:dyDescent="0.25">
      <c r="A520" s="34" t="str">
        <f>"H0343  GUIDE BODY SHF15"</f>
        <v>H0343  GUIDE BODY SHF15</v>
      </c>
      <c r="B520" s="2">
        <v>21</v>
      </c>
      <c r="C520" s="2">
        <v>1</v>
      </c>
      <c r="D520" s="11" t="str">
        <f t="shared" si="16"/>
        <v>UN</v>
      </c>
      <c r="E520" s="12">
        <v>140.18125000000001</v>
      </c>
      <c r="F520" s="13">
        <v>0</v>
      </c>
      <c r="G520" s="14" t="s">
        <v>198</v>
      </c>
    </row>
    <row r="521" spans="1:7" x14ac:dyDescent="0.25">
      <c r="A521" s="34" t="str">
        <f>"H206246 TEMPERATURE TRACER BÜHNEN HB 700"</f>
        <v>H206246 TEMPERATURE TRACER BÜHNEN HB 700</v>
      </c>
      <c r="B521" s="2">
        <v>21</v>
      </c>
      <c r="C521" s="2">
        <v>3</v>
      </c>
      <c r="D521" s="11" t="str">
        <f t="shared" si="16"/>
        <v>UN</v>
      </c>
      <c r="E521" s="12">
        <v>226.29750000000001</v>
      </c>
      <c r="F521" s="13">
        <v>0</v>
      </c>
      <c r="G521" s="14" t="s">
        <v>198</v>
      </c>
    </row>
    <row r="522" spans="1:7" x14ac:dyDescent="0.25">
      <c r="A522" s="34" t="str">
        <f>"HA0001  SEGURO PW"</f>
        <v>HA0001  SEGURO PW</v>
      </c>
      <c r="B522" s="2">
        <v>21</v>
      </c>
      <c r="C522" s="2">
        <v>1</v>
      </c>
      <c r="D522" s="11" t="str">
        <f t="shared" ref="D522:D585" si="17">"UN"</f>
        <v>UN</v>
      </c>
      <c r="E522" s="12">
        <v>33.797499999999999</v>
      </c>
      <c r="F522" s="13">
        <v>0</v>
      </c>
      <c r="G522" s="14" t="s">
        <v>198</v>
      </c>
    </row>
    <row r="523" spans="1:7" x14ac:dyDescent="0.25">
      <c r="A523" s="34" t="str">
        <f>"HA0007  SEGURO MW"</f>
        <v>HA0007  SEGURO MW</v>
      </c>
      <c r="B523" s="2">
        <v>21</v>
      </c>
      <c r="C523" s="2">
        <v>4</v>
      </c>
      <c r="D523" s="11" t="str">
        <f t="shared" si="17"/>
        <v>UN</v>
      </c>
      <c r="E523" s="12">
        <v>171.10500000000002</v>
      </c>
      <c r="F523" s="13">
        <v>0</v>
      </c>
      <c r="G523" s="14" t="s">
        <v>198</v>
      </c>
    </row>
    <row r="524" spans="1:7" x14ac:dyDescent="0.25">
      <c r="A524" s="34" t="str">
        <f>"HA0079 GATILLO"</f>
        <v>HA0079 GATILLO</v>
      </c>
      <c r="B524" s="2">
        <v>21</v>
      </c>
      <c r="C524" s="2">
        <v>5</v>
      </c>
      <c r="D524" s="11" t="str">
        <f t="shared" si="17"/>
        <v>UN</v>
      </c>
      <c r="E524" s="12">
        <v>0</v>
      </c>
      <c r="F524" s="13">
        <v>0</v>
      </c>
      <c r="G524" s="14" t="s">
        <v>198</v>
      </c>
    </row>
    <row r="525" spans="1:7" x14ac:dyDescent="0.25">
      <c r="A525" s="34" t="str">
        <f>"HA0081 GATILLO SN4 (TIRO A TIRO)"</f>
        <v>HA0081 GATILLO SN4 (TIRO A TIRO)</v>
      </c>
      <c r="B525" s="2">
        <v>21</v>
      </c>
      <c r="C525" s="2">
        <v>5</v>
      </c>
      <c r="D525" s="11" t="str">
        <f t="shared" si="17"/>
        <v>UN</v>
      </c>
      <c r="E525" s="12">
        <v>134.33750000000001</v>
      </c>
      <c r="F525" s="13">
        <v>0</v>
      </c>
      <c r="G525" s="14" t="s">
        <v>198</v>
      </c>
    </row>
    <row r="526" spans="1:7" x14ac:dyDescent="0.25">
      <c r="A526" s="34" t="str">
        <f>"HA0097 GATILLO COMPL. TIRO A TIRO SNS45"</f>
        <v>HA0097 GATILLO COMPL. TIRO A TIRO SNS45</v>
      </c>
      <c r="B526" s="2">
        <v>21</v>
      </c>
      <c r="C526" s="2">
        <v>6</v>
      </c>
      <c r="D526" s="11" t="str">
        <f t="shared" si="17"/>
        <v>UN</v>
      </c>
      <c r="E526" s="12">
        <v>120.45000000000002</v>
      </c>
      <c r="F526" s="13">
        <v>0</v>
      </c>
      <c r="G526" s="14" t="s">
        <v>198</v>
      </c>
    </row>
    <row r="527" spans="1:7" x14ac:dyDescent="0.25">
      <c r="A527" s="34" t="str">
        <f>"HA0109 ASAMBLE DE GATILLO"</f>
        <v>HA0109 ASAMBLE DE GATILLO</v>
      </c>
      <c r="B527" s="2">
        <v>21</v>
      </c>
      <c r="C527" s="2">
        <v>1</v>
      </c>
      <c r="D527" s="11" t="str">
        <f t="shared" si="17"/>
        <v>UN</v>
      </c>
      <c r="E527" s="12">
        <v>27.018749999999997</v>
      </c>
      <c r="F527" s="13">
        <v>0</v>
      </c>
      <c r="G527" s="14" t="s">
        <v>198</v>
      </c>
    </row>
    <row r="528" spans="1:7" x14ac:dyDescent="0.25">
      <c r="A528" s="34" t="str">
        <f>"HB0002  CASQUILLO"</f>
        <v>HB0002  CASQUILLO</v>
      </c>
      <c r="B528" s="2">
        <v>21</v>
      </c>
      <c r="C528" s="2">
        <v>1</v>
      </c>
      <c r="D528" s="11" t="str">
        <f t="shared" si="17"/>
        <v>UN</v>
      </c>
      <c r="E528" s="12">
        <v>4.6612499999999999</v>
      </c>
      <c r="F528" s="13">
        <v>0</v>
      </c>
      <c r="G528" s="14" t="s">
        <v>198</v>
      </c>
    </row>
    <row r="529" spans="1:7" x14ac:dyDescent="0.25">
      <c r="A529" s="34" t="str">
        <f>"HB0003  GATILLO"</f>
        <v>HB0003  GATILLO</v>
      </c>
      <c r="B529" s="2">
        <v>21</v>
      </c>
      <c r="C529" s="2">
        <v>1</v>
      </c>
      <c r="D529" s="11" t="str">
        <f t="shared" si="17"/>
        <v>UN</v>
      </c>
      <c r="E529" s="12">
        <v>40.507500000000007</v>
      </c>
      <c r="F529" s="13">
        <v>0</v>
      </c>
      <c r="G529" s="14" t="s">
        <v>198</v>
      </c>
    </row>
    <row r="530" spans="1:7" x14ac:dyDescent="0.25">
      <c r="A530" s="34" t="str">
        <f>"HB0004  GATILLO M.PW"</f>
        <v>HB0004  GATILLO M.PW</v>
      </c>
      <c r="B530" s="2">
        <v>21</v>
      </c>
      <c r="C530" s="2">
        <v>5</v>
      </c>
      <c r="D530" s="11" t="str">
        <f t="shared" si="17"/>
        <v>UN</v>
      </c>
      <c r="E530" s="12">
        <v>56.443750000000009</v>
      </c>
      <c r="F530" s="13">
        <v>0</v>
      </c>
      <c r="G530" s="14" t="s">
        <v>198</v>
      </c>
    </row>
    <row r="531" spans="1:7" x14ac:dyDescent="0.25">
      <c r="A531" s="34" t="str">
        <f>"HB0017  CASQ.PASAD.GATIL"</f>
        <v>HB0017  CASQ.PASAD.GATIL</v>
      </c>
      <c r="B531" s="2">
        <v>21</v>
      </c>
      <c r="C531" s="2">
        <v>18</v>
      </c>
      <c r="D531" s="11" t="str">
        <f t="shared" si="17"/>
        <v>UN</v>
      </c>
      <c r="E531" s="12">
        <v>109.39500000000001</v>
      </c>
      <c r="F531" s="13">
        <v>0</v>
      </c>
      <c r="G531" s="14" t="s">
        <v>198</v>
      </c>
    </row>
    <row r="532" spans="1:7" x14ac:dyDescent="0.25">
      <c r="A532" s="34" t="str">
        <f>"HB0043  PASADOR"</f>
        <v>HB0043  PASADOR</v>
      </c>
      <c r="B532" s="2">
        <v>21</v>
      </c>
      <c r="C532" s="2">
        <v>25</v>
      </c>
      <c r="D532" s="11" t="str">
        <f t="shared" si="17"/>
        <v>UN</v>
      </c>
      <c r="E532" s="12">
        <v>98.312500000000028</v>
      </c>
      <c r="F532" s="13">
        <v>0</v>
      </c>
      <c r="G532" s="14" t="s">
        <v>198</v>
      </c>
    </row>
    <row r="533" spans="1:7" x14ac:dyDescent="0.25">
      <c r="A533" s="34" t="str">
        <f>"HB0046  SEGURO SFN-2"</f>
        <v>HB0046  SEGURO SFN-2</v>
      </c>
      <c r="B533" s="2">
        <v>21</v>
      </c>
      <c r="C533" s="2">
        <v>5</v>
      </c>
      <c r="D533" s="11" t="str">
        <f t="shared" si="17"/>
        <v>UN</v>
      </c>
      <c r="E533" s="12">
        <v>65.587499999999991</v>
      </c>
      <c r="F533" s="13">
        <v>0</v>
      </c>
      <c r="G533" s="14" t="s">
        <v>198</v>
      </c>
    </row>
    <row r="534" spans="1:7" x14ac:dyDescent="0.25">
      <c r="A534" s="34" t="str">
        <f>"HB0118"</f>
        <v>HB0118</v>
      </c>
      <c r="B534" s="2">
        <v>21</v>
      </c>
      <c r="C534" s="2">
        <v>1</v>
      </c>
      <c r="D534" s="11" t="str">
        <f t="shared" si="17"/>
        <v>UN</v>
      </c>
      <c r="E534" s="12">
        <v>0</v>
      </c>
      <c r="F534" s="13">
        <v>0</v>
      </c>
      <c r="G534" s="14" t="s">
        <v>198</v>
      </c>
    </row>
    <row r="535" spans="1:7" x14ac:dyDescent="0.25">
      <c r="A535" s="34" t="str">
        <f>"HB0130  SEGURO K"</f>
        <v>HB0130  SEGURO K</v>
      </c>
      <c r="B535" s="2">
        <v>21</v>
      </c>
      <c r="C535" s="2">
        <v>2</v>
      </c>
      <c r="D535" s="11" t="str">
        <f t="shared" si="17"/>
        <v>UN</v>
      </c>
      <c r="E535" s="12">
        <v>93.94</v>
      </c>
      <c r="F535" s="13">
        <v>0</v>
      </c>
      <c r="G535" s="14" t="s">
        <v>198</v>
      </c>
    </row>
    <row r="536" spans="1:7" x14ac:dyDescent="0.25">
      <c r="A536" s="34" t="str">
        <f>"HC0196 SEGURO DE INFERIOR"</f>
        <v>HC0196 SEGURO DE INFERIOR</v>
      </c>
      <c r="B536" s="2">
        <v>21</v>
      </c>
      <c r="C536" s="2">
        <v>3</v>
      </c>
      <c r="D536" s="11" t="str">
        <f t="shared" si="17"/>
        <v>UN</v>
      </c>
      <c r="E536" s="12">
        <v>66.412500000000023</v>
      </c>
      <c r="F536" s="13">
        <v>0</v>
      </c>
      <c r="G536" s="14" t="s">
        <v>198</v>
      </c>
    </row>
    <row r="537" spans="1:7" x14ac:dyDescent="0.25">
      <c r="A537" s="34" t="str">
        <f>"HC0232 VARILLA DE CONEXION"</f>
        <v>HC0232 VARILLA DE CONEXION</v>
      </c>
      <c r="B537" s="2">
        <v>21</v>
      </c>
      <c r="C537" s="2">
        <v>4</v>
      </c>
      <c r="D537" s="11" t="str">
        <f t="shared" si="17"/>
        <v>UN</v>
      </c>
      <c r="E537" s="12">
        <v>68.310000000000016</v>
      </c>
      <c r="F537" s="13">
        <v>0</v>
      </c>
      <c r="G537" s="14" t="s">
        <v>198</v>
      </c>
    </row>
    <row r="538" spans="1:7" x14ac:dyDescent="0.25">
      <c r="A538" s="34" t="str">
        <f>"HC0289 SEGURO DE SUPERIOR"</f>
        <v>HC0289 SEGURO DE SUPERIOR</v>
      </c>
      <c r="B538" s="2">
        <v>21</v>
      </c>
      <c r="C538" s="2">
        <v>1</v>
      </c>
      <c r="D538" s="11" t="str">
        <f t="shared" si="17"/>
        <v>UN</v>
      </c>
      <c r="E538" s="12">
        <v>15.08375</v>
      </c>
      <c r="F538" s="13">
        <v>0</v>
      </c>
      <c r="G538" s="14" t="s">
        <v>198</v>
      </c>
    </row>
    <row r="539" spans="1:7" x14ac:dyDescent="0.25">
      <c r="A539" s="34" t="str">
        <f>"HC0314 = HB0267 SEGURO SNS40"</f>
        <v>HC0314 = HB0267 SEGURO SNS40</v>
      </c>
      <c r="B539" s="2">
        <v>21</v>
      </c>
      <c r="C539" s="2">
        <v>6</v>
      </c>
      <c r="D539" s="11" t="str">
        <f t="shared" si="17"/>
        <v>UN</v>
      </c>
      <c r="E539" s="12">
        <v>204.76500000000007</v>
      </c>
      <c r="F539" s="13">
        <v>0</v>
      </c>
      <c r="G539" s="14" t="s">
        <v>198</v>
      </c>
    </row>
    <row r="540" spans="1:7" x14ac:dyDescent="0.25">
      <c r="A540" s="34" t="str">
        <f>"HELPA 0002=53411"</f>
        <v>HELPA 0002=53411</v>
      </c>
      <c r="B540" s="2">
        <v>21</v>
      </c>
      <c r="C540" s="2">
        <v>23</v>
      </c>
      <c r="D540" s="11" t="str">
        <f t="shared" si="17"/>
        <v>UN</v>
      </c>
      <c r="E540" s="12">
        <v>61.985000000000021</v>
      </c>
      <c r="F540" s="13">
        <v>0</v>
      </c>
      <c r="G540" s="14" t="s">
        <v>198</v>
      </c>
    </row>
    <row r="541" spans="1:7" x14ac:dyDescent="0.25">
      <c r="A541" s="34" t="str">
        <f>"HELPA 0007=53403"</f>
        <v>HELPA 0007=53403</v>
      </c>
      <c r="B541" s="2">
        <v>21</v>
      </c>
      <c r="C541" s="2">
        <v>4</v>
      </c>
      <c r="D541" s="11" t="str">
        <f t="shared" si="17"/>
        <v>UN</v>
      </c>
      <c r="E541" s="12">
        <v>12.925000000000002</v>
      </c>
      <c r="F541" s="13">
        <v>0</v>
      </c>
      <c r="G541" s="14" t="s">
        <v>198</v>
      </c>
    </row>
    <row r="542" spans="1:7" x14ac:dyDescent="0.25">
      <c r="A542" s="34" t="str">
        <f>"HELPA 0011=53416"</f>
        <v>HELPA 0011=53416</v>
      </c>
      <c r="B542" s="2">
        <v>21</v>
      </c>
      <c r="C542" s="2">
        <v>19</v>
      </c>
      <c r="D542" s="11" t="str">
        <f t="shared" si="17"/>
        <v>UN</v>
      </c>
      <c r="E542" s="12">
        <v>107.63500000000001</v>
      </c>
      <c r="F542" s="13">
        <v>0</v>
      </c>
      <c r="G542" s="14" t="s">
        <v>198</v>
      </c>
    </row>
    <row r="543" spans="1:7" x14ac:dyDescent="0.25">
      <c r="A543" s="34" t="str">
        <f>"HELPA 0015=50225"</f>
        <v>HELPA 0015=50225</v>
      </c>
      <c r="B543" s="2">
        <v>21</v>
      </c>
      <c r="C543" s="2">
        <v>35</v>
      </c>
      <c r="D543" s="11" t="str">
        <f t="shared" si="17"/>
        <v>UN</v>
      </c>
      <c r="E543" s="12">
        <v>64.96875</v>
      </c>
      <c r="F543" s="13">
        <v>0</v>
      </c>
      <c r="G543" s="14" t="s">
        <v>198</v>
      </c>
    </row>
    <row r="544" spans="1:7" x14ac:dyDescent="0.25">
      <c r="A544" s="34" t="str">
        <f>"HELPA 0019=53441"</f>
        <v>HELPA 0019=53441</v>
      </c>
      <c r="B544" s="2">
        <v>21</v>
      </c>
      <c r="C544" s="2">
        <v>41</v>
      </c>
      <c r="D544" s="11" t="str">
        <f t="shared" si="17"/>
        <v>UN</v>
      </c>
      <c r="E544" s="12">
        <v>189.41999999999996</v>
      </c>
      <c r="F544" s="13">
        <v>0</v>
      </c>
      <c r="G544" s="14" t="s">
        <v>198</v>
      </c>
    </row>
    <row r="545" spans="1:7" x14ac:dyDescent="0.25">
      <c r="A545" s="34" t="str">
        <f>"HELPA 0206=50022"</f>
        <v>HELPA 0206=50022</v>
      </c>
      <c r="B545" s="2">
        <v>21</v>
      </c>
      <c r="C545" s="2">
        <v>3</v>
      </c>
      <c r="D545" s="11" t="str">
        <f t="shared" si="17"/>
        <v>UN</v>
      </c>
      <c r="E545" s="12">
        <v>16.293749999999999</v>
      </c>
      <c r="F545" s="13">
        <v>0</v>
      </c>
      <c r="G545" s="14" t="s">
        <v>198</v>
      </c>
    </row>
    <row r="546" spans="1:7" x14ac:dyDescent="0.25">
      <c r="A546" s="34" t="str">
        <f>"HELPA 0401=55028"</f>
        <v>HELPA 0401=55028</v>
      </c>
      <c r="B546" s="2">
        <v>21</v>
      </c>
      <c r="C546" s="2">
        <v>37</v>
      </c>
      <c r="D546" s="11" t="str">
        <f t="shared" si="17"/>
        <v>UN</v>
      </c>
      <c r="E546" s="12">
        <v>68.681250000000006</v>
      </c>
      <c r="F546" s="13">
        <v>0</v>
      </c>
      <c r="G546" s="14" t="s">
        <v>198</v>
      </c>
    </row>
    <row r="547" spans="1:7" x14ac:dyDescent="0.25">
      <c r="A547" s="34" t="str">
        <f>"HELPA 0416=55027"</f>
        <v>HELPA 0416=55027</v>
      </c>
      <c r="B547" s="2">
        <v>21</v>
      </c>
      <c r="C547" s="2">
        <v>50</v>
      </c>
      <c r="D547" s="11" t="str">
        <f t="shared" si="17"/>
        <v>UN</v>
      </c>
      <c r="E547" s="12">
        <v>92.812500000000014</v>
      </c>
      <c r="F547" s="13">
        <v>0</v>
      </c>
      <c r="G547" s="14" t="s">
        <v>198</v>
      </c>
    </row>
    <row r="548" spans="1:7" x14ac:dyDescent="0.25">
      <c r="A548" s="34" t="str">
        <f>"HELPA 4154=50226"</f>
        <v>HELPA 4154=50226</v>
      </c>
      <c r="B548" s="2">
        <v>21</v>
      </c>
      <c r="C548" s="2">
        <v>23</v>
      </c>
      <c r="D548" s="11" t="str">
        <f t="shared" si="17"/>
        <v>UN</v>
      </c>
      <c r="E548" s="12">
        <v>157.49250000000004</v>
      </c>
      <c r="F548" s="13">
        <v>0</v>
      </c>
      <c r="G548" s="14" t="s">
        <v>198</v>
      </c>
    </row>
    <row r="549" spans="1:7" x14ac:dyDescent="0.25">
      <c r="A549" s="34" t="str">
        <f>"HELPA 4164=62222"</f>
        <v>HELPA 4164=62222</v>
      </c>
      <c r="B549" s="2">
        <v>21</v>
      </c>
      <c r="C549" s="2">
        <v>3</v>
      </c>
      <c r="D549" s="11" t="str">
        <f t="shared" si="17"/>
        <v>UN</v>
      </c>
      <c r="E549" s="12">
        <v>32.463749999999997</v>
      </c>
      <c r="F549" s="13">
        <v>0</v>
      </c>
      <c r="G549" s="14" t="s">
        <v>198</v>
      </c>
    </row>
    <row r="550" spans="1:7" x14ac:dyDescent="0.25">
      <c r="A550" s="34" t="str">
        <f>"HELPA 4209=70891"</f>
        <v>HELPA 4209=70891</v>
      </c>
      <c r="B550" s="2">
        <v>21</v>
      </c>
      <c r="C550" s="2">
        <v>28</v>
      </c>
      <c r="D550" s="11" t="str">
        <f t="shared" si="17"/>
        <v>UN</v>
      </c>
      <c r="E550" s="12">
        <v>51.975000000000016</v>
      </c>
      <c r="F550" s="13">
        <v>0</v>
      </c>
      <c r="G550" s="14" t="s">
        <v>198</v>
      </c>
    </row>
    <row r="551" spans="1:7" x14ac:dyDescent="0.25">
      <c r="A551" s="34" t="str">
        <f>"HELPA 4245 = 42492 (CON PESTAÑA)"</f>
        <v>HELPA 4245 = 42492 (CON PESTAÑA)</v>
      </c>
      <c r="B551" s="2">
        <v>21</v>
      </c>
      <c r="C551" s="2">
        <v>8</v>
      </c>
      <c r="D551" s="11" t="str">
        <f t="shared" si="17"/>
        <v>UN</v>
      </c>
      <c r="E551" s="12">
        <v>239.36</v>
      </c>
      <c r="F551" s="13">
        <v>0</v>
      </c>
      <c r="G551" s="14" t="s">
        <v>198</v>
      </c>
    </row>
    <row r="552" spans="1:7" x14ac:dyDescent="0.25">
      <c r="A552" s="34" t="str">
        <f>"HELPA 4280=54014"</f>
        <v>HELPA 4280=54014</v>
      </c>
      <c r="B552" s="2">
        <v>21</v>
      </c>
      <c r="C552" s="2">
        <v>2</v>
      </c>
      <c r="D552" s="11" t="str">
        <f t="shared" si="17"/>
        <v>UN</v>
      </c>
      <c r="E552" s="12">
        <v>5.995000000000001</v>
      </c>
      <c r="F552" s="13">
        <v>0</v>
      </c>
      <c r="G552" s="14" t="s">
        <v>198</v>
      </c>
    </row>
    <row r="553" spans="1:7" x14ac:dyDescent="0.25">
      <c r="A553" s="34" t="str">
        <f>"HF0021 CUBIERTA GATILLO FP41"</f>
        <v>HF0021 CUBIERTA GATILLO FP41</v>
      </c>
      <c r="B553" s="2">
        <v>21</v>
      </c>
      <c r="C553" s="2">
        <v>1</v>
      </c>
      <c r="D553" s="11" t="str">
        <f t="shared" si="17"/>
        <v>UN</v>
      </c>
      <c r="E553" s="12">
        <v>4.7300000000000004</v>
      </c>
      <c r="F553" s="13">
        <v>0</v>
      </c>
      <c r="G553" s="14" t="s">
        <v>198</v>
      </c>
    </row>
    <row r="554" spans="1:7" x14ac:dyDescent="0.25">
      <c r="A554" s="34" t="str">
        <f>"HF0022 JUNTA TORICA"</f>
        <v>HF0022 JUNTA TORICA</v>
      </c>
      <c r="B554" s="2">
        <v>21</v>
      </c>
      <c r="C554" s="2">
        <v>9</v>
      </c>
      <c r="D554" s="11" t="str">
        <f t="shared" si="17"/>
        <v>UN</v>
      </c>
      <c r="E554" s="12">
        <v>22.027500000000003</v>
      </c>
      <c r="F554" s="13">
        <v>0</v>
      </c>
      <c r="G554" s="14" t="s">
        <v>198</v>
      </c>
    </row>
    <row r="555" spans="1:7" x14ac:dyDescent="0.25">
      <c r="A555" s="34" t="str">
        <f>"HF0052 = HF0087 PIEZ.GATILLO SNS4"</f>
        <v>HF0052 = HF0087 PIEZ.GATILLO SNS4</v>
      </c>
      <c r="B555" s="2">
        <v>21</v>
      </c>
      <c r="C555" s="2">
        <v>8</v>
      </c>
      <c r="D555" s="11" t="str">
        <f t="shared" si="17"/>
        <v>UN</v>
      </c>
      <c r="E555" s="12">
        <v>105.6</v>
      </c>
      <c r="F555" s="13">
        <v>0</v>
      </c>
      <c r="G555" s="14" t="s">
        <v>198</v>
      </c>
    </row>
    <row r="556" spans="1:7" x14ac:dyDescent="0.25">
      <c r="A556" s="34" t="str">
        <f>"I2CFC2 - ENCHUFE ARO 10-0210"</f>
        <v>I2CFC2 - ENCHUFE ARO 10-0210</v>
      </c>
      <c r="B556" s="2">
        <v>21</v>
      </c>
      <c r="C556" s="2">
        <v>1</v>
      </c>
      <c r="D556" s="11" t="str">
        <f t="shared" si="17"/>
        <v>UN</v>
      </c>
      <c r="E556" s="12">
        <v>27.362499999999997</v>
      </c>
      <c r="F556" s="13">
        <v>0</v>
      </c>
      <c r="G556" s="14" t="s">
        <v>198</v>
      </c>
    </row>
    <row r="557" spans="1:7" x14ac:dyDescent="0.25">
      <c r="A557" s="34" t="str">
        <f>"I2CMC3 - ENCHUFE ARO 10-0300"</f>
        <v>I2CMC3 - ENCHUFE ARO 10-0300</v>
      </c>
      <c r="B557" s="2">
        <v>21</v>
      </c>
      <c r="C557" s="2">
        <v>5</v>
      </c>
      <c r="D557" s="11" t="str">
        <f t="shared" si="17"/>
        <v>UN</v>
      </c>
      <c r="E557" s="12">
        <v>145.47500000000002</v>
      </c>
      <c r="F557" s="13">
        <v>0</v>
      </c>
      <c r="G557" s="14" t="s">
        <v>198</v>
      </c>
    </row>
    <row r="558" spans="1:7" x14ac:dyDescent="0.25">
      <c r="A558" s="34" t="str">
        <f>"I2NHC2-RACORES ARO 10-4005"</f>
        <v>I2NHC2-RACORES ARO 10-4005</v>
      </c>
      <c r="B558" s="2">
        <v>21</v>
      </c>
      <c r="C558" s="2">
        <v>25</v>
      </c>
      <c r="D558" s="11" t="str">
        <f t="shared" si="17"/>
        <v>UN</v>
      </c>
      <c r="E558" s="12">
        <v>193.18750000000003</v>
      </c>
      <c r="F558" s="13">
        <v>0</v>
      </c>
      <c r="G558" s="14" t="s">
        <v>198</v>
      </c>
    </row>
    <row r="559" spans="1:7" x14ac:dyDescent="0.25">
      <c r="A559" s="34" t="str">
        <f>"JA0010  YUNQUE F75=DESCATALOGADO"</f>
        <v>JA0010  YUNQUE F75=DESCATALOGADO</v>
      </c>
      <c r="B559" s="2">
        <v>21</v>
      </c>
      <c r="C559" s="2">
        <v>1</v>
      </c>
      <c r="D559" s="11" t="str">
        <f t="shared" si="17"/>
        <v>UN</v>
      </c>
      <c r="E559" s="12">
        <v>106.98875</v>
      </c>
      <c r="F559" s="13">
        <v>0</v>
      </c>
      <c r="G559" s="14" t="s">
        <v>198</v>
      </c>
    </row>
    <row r="560" spans="1:7" x14ac:dyDescent="0.25">
      <c r="A560" s="34" t="str">
        <f>"JB0009  REMACHE YUNQUE F"</f>
        <v>JB0009  REMACHE YUNQUE F</v>
      </c>
      <c r="B560" s="2">
        <v>21</v>
      </c>
      <c r="C560" s="2">
        <v>1</v>
      </c>
      <c r="D560" s="11" t="str">
        <f t="shared" si="17"/>
        <v>UN</v>
      </c>
      <c r="E560" s="12">
        <v>3.5750000000000002</v>
      </c>
      <c r="F560" s="13">
        <v>0</v>
      </c>
      <c r="G560" s="14" t="s">
        <v>198</v>
      </c>
    </row>
    <row r="561" spans="1:7" x14ac:dyDescent="0.25">
      <c r="A561" s="34" t="str">
        <f t="shared" ref="A561:A571" si="18">"JUNTA"</f>
        <v>JUNTA</v>
      </c>
      <c r="B561" s="2">
        <v>21</v>
      </c>
      <c r="C561" s="2">
        <v>39</v>
      </c>
      <c r="D561" s="11" t="str">
        <f t="shared" si="17"/>
        <v>UN</v>
      </c>
      <c r="E561" s="12">
        <v>72.393750000000011</v>
      </c>
      <c r="F561" s="13">
        <v>0</v>
      </c>
      <c r="G561" s="14" t="s">
        <v>198</v>
      </c>
    </row>
    <row r="562" spans="1:7" x14ac:dyDescent="0.25">
      <c r="A562" s="34" t="str">
        <f t="shared" si="18"/>
        <v>JUNTA</v>
      </c>
      <c r="B562" s="2">
        <v>21</v>
      </c>
      <c r="C562" s="2">
        <v>11</v>
      </c>
      <c r="D562" s="11" t="str">
        <f t="shared" si="17"/>
        <v>UN</v>
      </c>
      <c r="E562" s="12">
        <v>20.418750000000003</v>
      </c>
      <c r="F562" s="13">
        <v>0</v>
      </c>
      <c r="G562" s="14" t="s">
        <v>198</v>
      </c>
    </row>
    <row r="563" spans="1:7" x14ac:dyDescent="0.25">
      <c r="A563" s="34" t="str">
        <f t="shared" si="18"/>
        <v>JUNTA</v>
      </c>
      <c r="B563" s="2">
        <v>21</v>
      </c>
      <c r="C563" s="2">
        <v>8</v>
      </c>
      <c r="D563" s="11" t="str">
        <f t="shared" si="17"/>
        <v>UN</v>
      </c>
      <c r="E563" s="12">
        <v>14.850000000000001</v>
      </c>
      <c r="F563" s="13">
        <v>0</v>
      </c>
      <c r="G563" s="14" t="s">
        <v>198</v>
      </c>
    </row>
    <row r="564" spans="1:7" x14ac:dyDescent="0.25">
      <c r="A564" s="34" t="str">
        <f t="shared" si="18"/>
        <v>JUNTA</v>
      </c>
      <c r="B564" s="2">
        <v>21</v>
      </c>
      <c r="C564" s="2">
        <v>29</v>
      </c>
      <c r="D564" s="11" t="str">
        <f t="shared" si="17"/>
        <v>UN</v>
      </c>
      <c r="E564" s="12">
        <v>53.831250000000026</v>
      </c>
      <c r="F564" s="13">
        <v>0</v>
      </c>
      <c r="G564" s="14" t="s">
        <v>198</v>
      </c>
    </row>
    <row r="565" spans="1:7" x14ac:dyDescent="0.25">
      <c r="A565" s="34" t="str">
        <f t="shared" si="18"/>
        <v>JUNTA</v>
      </c>
      <c r="B565" s="2">
        <v>21</v>
      </c>
      <c r="C565" s="2">
        <v>9</v>
      </c>
      <c r="D565" s="11" t="str">
        <f t="shared" si="17"/>
        <v>UN</v>
      </c>
      <c r="E565" s="12">
        <v>16.706250000000001</v>
      </c>
      <c r="F565" s="13">
        <v>0</v>
      </c>
      <c r="G565" s="14" t="s">
        <v>198</v>
      </c>
    </row>
    <row r="566" spans="1:7" x14ac:dyDescent="0.25">
      <c r="A566" s="34" t="str">
        <f t="shared" si="18"/>
        <v>JUNTA</v>
      </c>
      <c r="B566" s="2">
        <v>21</v>
      </c>
      <c r="C566" s="2">
        <v>12</v>
      </c>
      <c r="D566" s="11" t="str">
        <f t="shared" si="17"/>
        <v>UN</v>
      </c>
      <c r="E566" s="12">
        <v>22.275000000000013</v>
      </c>
      <c r="F566" s="13">
        <v>0</v>
      </c>
      <c r="G566" s="14" t="s">
        <v>198</v>
      </c>
    </row>
    <row r="567" spans="1:7" x14ac:dyDescent="0.25">
      <c r="A567" s="34" t="str">
        <f t="shared" si="18"/>
        <v>JUNTA</v>
      </c>
      <c r="B567" s="2">
        <v>21</v>
      </c>
      <c r="C567" s="2">
        <v>9</v>
      </c>
      <c r="D567" s="11" t="str">
        <f t="shared" si="17"/>
        <v>UN</v>
      </c>
      <c r="E567" s="12">
        <v>16.706250000000001</v>
      </c>
      <c r="F567" s="13">
        <v>0</v>
      </c>
      <c r="G567" s="14" t="s">
        <v>198</v>
      </c>
    </row>
    <row r="568" spans="1:7" x14ac:dyDescent="0.25">
      <c r="A568" s="34" t="str">
        <f t="shared" si="18"/>
        <v>JUNTA</v>
      </c>
      <c r="B568" s="2">
        <v>21</v>
      </c>
      <c r="C568" s="2">
        <v>2</v>
      </c>
      <c r="D568" s="11" t="str">
        <f t="shared" si="17"/>
        <v>UN</v>
      </c>
      <c r="E568" s="12">
        <v>3.7125000000000004</v>
      </c>
      <c r="F568" s="13">
        <v>0</v>
      </c>
      <c r="G568" s="14" t="s">
        <v>198</v>
      </c>
    </row>
    <row r="569" spans="1:7" x14ac:dyDescent="0.25">
      <c r="A569" s="34" t="str">
        <f t="shared" si="18"/>
        <v>JUNTA</v>
      </c>
      <c r="B569" s="2">
        <v>21</v>
      </c>
      <c r="C569" s="2">
        <v>3</v>
      </c>
      <c r="D569" s="11" t="str">
        <f t="shared" si="17"/>
        <v>UN</v>
      </c>
      <c r="E569" s="12">
        <v>6.2700000000000022</v>
      </c>
      <c r="F569" s="13">
        <v>0</v>
      </c>
      <c r="G569" s="14" t="s">
        <v>198</v>
      </c>
    </row>
    <row r="570" spans="1:7" x14ac:dyDescent="0.25">
      <c r="A570" s="34" t="str">
        <f t="shared" si="18"/>
        <v>JUNTA</v>
      </c>
      <c r="B570" s="2">
        <v>21</v>
      </c>
      <c r="C570" s="2">
        <v>12</v>
      </c>
      <c r="D570" s="11" t="str">
        <f t="shared" si="17"/>
        <v>UN</v>
      </c>
      <c r="E570" s="12">
        <v>107.41500000000002</v>
      </c>
      <c r="F570" s="13">
        <v>0</v>
      </c>
      <c r="G570" s="14" t="s">
        <v>198</v>
      </c>
    </row>
    <row r="571" spans="1:7" x14ac:dyDescent="0.25">
      <c r="A571" s="34" t="str">
        <f t="shared" si="18"/>
        <v>JUNTA</v>
      </c>
      <c r="B571" s="2">
        <v>21</v>
      </c>
      <c r="C571" s="2">
        <v>4</v>
      </c>
      <c r="D571" s="11" t="str">
        <f t="shared" si="17"/>
        <v>UN</v>
      </c>
      <c r="E571" s="12">
        <v>27.830000000000002</v>
      </c>
      <c r="F571" s="13">
        <v>0</v>
      </c>
      <c r="G571" s="14" t="s">
        <v>198</v>
      </c>
    </row>
    <row r="572" spans="1:7" x14ac:dyDescent="0.25">
      <c r="A572" s="34" t="str">
        <f>"JUNTA CAMISA"</f>
        <v>JUNTA CAMISA</v>
      </c>
      <c r="B572" s="2">
        <v>21</v>
      </c>
      <c r="C572" s="2">
        <v>16</v>
      </c>
      <c r="D572" s="11" t="str">
        <f t="shared" si="17"/>
        <v>UN</v>
      </c>
      <c r="E572" s="12">
        <v>29.700000000000003</v>
      </c>
      <c r="F572" s="13">
        <v>0</v>
      </c>
      <c r="G572" s="14" t="s">
        <v>198</v>
      </c>
    </row>
    <row r="573" spans="1:7" x14ac:dyDescent="0.25">
      <c r="A573" s="34" t="str">
        <f>"JUNTA MORRO"</f>
        <v>JUNTA MORRO</v>
      </c>
      <c r="B573" s="2">
        <v>21</v>
      </c>
      <c r="C573" s="2">
        <v>2</v>
      </c>
      <c r="D573" s="11" t="str">
        <f t="shared" si="17"/>
        <v>UN</v>
      </c>
      <c r="E573" s="12">
        <v>37.125000000000007</v>
      </c>
      <c r="F573" s="13">
        <v>0</v>
      </c>
      <c r="G573" s="14" t="s">
        <v>198</v>
      </c>
    </row>
    <row r="574" spans="1:7" x14ac:dyDescent="0.25">
      <c r="A574" s="34" t="str">
        <f>"JUNTA PISTON"</f>
        <v>JUNTA PISTON</v>
      </c>
      <c r="B574" s="2">
        <v>21</v>
      </c>
      <c r="C574" s="2">
        <v>71</v>
      </c>
      <c r="D574" s="11" t="str">
        <f t="shared" si="17"/>
        <v>UN</v>
      </c>
      <c r="E574" s="12">
        <v>168.89125000000001</v>
      </c>
      <c r="F574" s="13">
        <v>0</v>
      </c>
      <c r="G574" s="14" t="s">
        <v>198</v>
      </c>
    </row>
    <row r="575" spans="1:7" x14ac:dyDescent="0.25">
      <c r="A575" s="34" t="str">
        <f>"JUNTA PISTON - Nº 17 - SA 14/50"</f>
        <v>JUNTA PISTON - Nº 17 - SA 14/50</v>
      </c>
      <c r="B575" s="2">
        <v>21</v>
      </c>
      <c r="C575" s="2">
        <v>12</v>
      </c>
      <c r="D575" s="11" t="str">
        <f t="shared" si="17"/>
        <v>UN</v>
      </c>
      <c r="E575" s="12">
        <v>22.275000000000002</v>
      </c>
      <c r="F575" s="13">
        <v>0</v>
      </c>
      <c r="G575" s="14" t="s">
        <v>198</v>
      </c>
    </row>
    <row r="576" spans="1:7" x14ac:dyDescent="0.25">
      <c r="A576" s="34" t="str">
        <f>"JUNTA TERMINAL"</f>
        <v>JUNTA TERMINAL</v>
      </c>
      <c r="B576" s="2">
        <v>21</v>
      </c>
      <c r="C576" s="2">
        <v>5</v>
      </c>
      <c r="D576" s="11" t="str">
        <f t="shared" si="17"/>
        <v>UN</v>
      </c>
      <c r="E576" s="12">
        <v>56.306249999999999</v>
      </c>
      <c r="F576" s="13">
        <v>0</v>
      </c>
      <c r="G576" s="14" t="s">
        <v>198</v>
      </c>
    </row>
    <row r="577" spans="1:7" x14ac:dyDescent="0.25">
      <c r="A577" s="34" t="str">
        <f>"JUNTA TORICA"</f>
        <v>JUNTA TORICA</v>
      </c>
      <c r="B577" s="2">
        <v>21</v>
      </c>
      <c r="C577" s="2">
        <v>20</v>
      </c>
      <c r="D577" s="11" t="str">
        <f t="shared" si="17"/>
        <v>UN</v>
      </c>
      <c r="E577" s="12">
        <v>356.40000000000015</v>
      </c>
      <c r="F577" s="13">
        <v>0</v>
      </c>
      <c r="G577" s="14" t="s">
        <v>198</v>
      </c>
    </row>
    <row r="578" spans="1:7" x14ac:dyDescent="0.25">
      <c r="A578" s="34" t="str">
        <f>"JUNTA TORICA Nº22 SA 18NC"</f>
        <v>JUNTA TORICA Nº22 SA 18NC</v>
      </c>
      <c r="B578" s="2">
        <v>21</v>
      </c>
      <c r="C578" s="2">
        <v>5</v>
      </c>
      <c r="D578" s="11" t="str">
        <f t="shared" si="17"/>
        <v>UN</v>
      </c>
      <c r="E578" s="12">
        <v>9.28125</v>
      </c>
      <c r="F578" s="13">
        <v>0</v>
      </c>
      <c r="G578" s="14" t="s">
        <v>198</v>
      </c>
    </row>
    <row r="579" spans="1:7" x14ac:dyDescent="0.25">
      <c r="A579" s="34" t="str">
        <f>"KIT JUNTAS/TOPE SHS50XP (YK0841EU)"</f>
        <v>KIT JUNTAS/TOPE SHS50XP (YK0841EU)</v>
      </c>
      <c r="B579" s="2">
        <v>21</v>
      </c>
      <c r="C579" s="2">
        <v>3</v>
      </c>
      <c r="D579" s="11" t="str">
        <f t="shared" si="17"/>
        <v>UN</v>
      </c>
      <c r="E579" s="12">
        <v>131.95875000000001</v>
      </c>
      <c r="F579" s="13">
        <v>0</v>
      </c>
      <c r="G579" s="14" t="s">
        <v>198</v>
      </c>
    </row>
    <row r="580" spans="1:7" x14ac:dyDescent="0.25">
      <c r="A580" s="34" t="str">
        <f>"KLEMMSTÜCK Nº04 BUHNEN HB700K"</f>
        <v>KLEMMSTÜCK Nº04 BUHNEN HB700K</v>
      </c>
      <c r="B580" s="2">
        <v>21</v>
      </c>
      <c r="C580" s="2">
        <v>1</v>
      </c>
      <c r="D580" s="11" t="str">
        <f t="shared" si="17"/>
        <v>UN</v>
      </c>
      <c r="E580" s="12">
        <v>10.078750000000001</v>
      </c>
      <c r="F580" s="13">
        <v>0</v>
      </c>
      <c r="G580" s="14" t="s">
        <v>198</v>
      </c>
    </row>
    <row r="581" spans="1:7" x14ac:dyDescent="0.25">
      <c r="A581" s="34" t="str">
        <f>"KM0520 TORNILLO M5X20 SA 92/40/SIMT11/12"</f>
        <v>KM0520 TORNILLO M5X20 SA 92/40/SIMT11/12</v>
      </c>
      <c r="B581" s="2">
        <v>21</v>
      </c>
      <c r="C581" s="2">
        <v>2</v>
      </c>
      <c r="D581" s="11" t="str">
        <f t="shared" si="17"/>
        <v>UN</v>
      </c>
      <c r="E581" s="12">
        <v>3.7125000000000008</v>
      </c>
      <c r="F581" s="13">
        <v>0</v>
      </c>
      <c r="G581" s="14" t="s">
        <v>198</v>
      </c>
    </row>
    <row r="582" spans="1:7" x14ac:dyDescent="0.25">
      <c r="A582" s="34" t="str">
        <f>"LENGUETA MP35-22"</f>
        <v>LENGUETA MP35-22</v>
      </c>
      <c r="B582" s="2">
        <v>21</v>
      </c>
      <c r="C582" s="2">
        <v>1</v>
      </c>
      <c r="D582" s="11" t="str">
        <f t="shared" si="17"/>
        <v>UN</v>
      </c>
      <c r="E582" s="12">
        <v>19.634999999999998</v>
      </c>
      <c r="F582" s="13">
        <v>0</v>
      </c>
      <c r="G582" s="14" t="s">
        <v>198</v>
      </c>
    </row>
    <row r="583" spans="1:7" x14ac:dyDescent="0.25">
      <c r="A583" s="34" t="str">
        <f>"MANGA"</f>
        <v>MANGA</v>
      </c>
      <c r="B583" s="2">
        <v>21</v>
      </c>
      <c r="C583" s="2">
        <v>5</v>
      </c>
      <c r="D583" s="11" t="str">
        <f t="shared" si="17"/>
        <v>UN</v>
      </c>
      <c r="E583" s="12">
        <v>57.887500000000003</v>
      </c>
      <c r="F583" s="13">
        <v>0</v>
      </c>
      <c r="G583" s="14" t="s">
        <v>198</v>
      </c>
    </row>
    <row r="584" spans="1:7" x14ac:dyDescent="0.25">
      <c r="A584" s="34" t="str">
        <f>"MEPA 22P 18-22 (680/ num. 021) UÑA"</f>
        <v>MEPA 22P 18-22 (680/ num. 021) UÑA</v>
      </c>
      <c r="B584" s="2">
        <v>21</v>
      </c>
      <c r="C584" s="2">
        <v>3</v>
      </c>
      <c r="D584" s="11" t="str">
        <f t="shared" si="17"/>
        <v>UN</v>
      </c>
      <c r="E584" s="12">
        <v>224.85375000000002</v>
      </c>
      <c r="F584" s="13">
        <v>0</v>
      </c>
      <c r="G584" s="14" t="s">
        <v>198</v>
      </c>
    </row>
    <row r="585" spans="1:7" x14ac:dyDescent="0.25">
      <c r="A585" s="34" t="str">
        <f>"MEPA 22P 18-22 (680/ num. 022) UÑA"</f>
        <v>MEPA 22P 18-22 (680/ num. 022) UÑA</v>
      </c>
      <c r="B585" s="2">
        <v>21</v>
      </c>
      <c r="C585" s="2">
        <v>1</v>
      </c>
      <c r="D585" s="11" t="str">
        <f t="shared" si="17"/>
        <v>UN</v>
      </c>
      <c r="E585" s="12">
        <v>74.951250000000002</v>
      </c>
      <c r="F585" s="13">
        <v>0</v>
      </c>
      <c r="G585" s="14" t="s">
        <v>198</v>
      </c>
    </row>
    <row r="586" spans="1:7" x14ac:dyDescent="0.25">
      <c r="A586" s="34" t="str">
        <f>"MORRO"</f>
        <v>MORRO</v>
      </c>
      <c r="B586" s="2">
        <v>21</v>
      </c>
      <c r="C586" s="2">
        <v>2</v>
      </c>
      <c r="D586" s="11" t="str">
        <f t="shared" ref="D586:D649" si="19">"UN"</f>
        <v>UN</v>
      </c>
      <c r="E586" s="12">
        <v>53.322500000000005</v>
      </c>
      <c r="F586" s="13">
        <v>0</v>
      </c>
      <c r="G586" s="14" t="s">
        <v>198</v>
      </c>
    </row>
    <row r="587" spans="1:7" x14ac:dyDescent="0.25">
      <c r="A587" s="34" t="str">
        <f>"MUELLE"</f>
        <v>MUELLE</v>
      </c>
      <c r="B587" s="2">
        <v>21</v>
      </c>
      <c r="C587" s="2">
        <v>3</v>
      </c>
      <c r="D587" s="11" t="str">
        <f t="shared" si="19"/>
        <v>UN</v>
      </c>
      <c r="E587" s="12">
        <v>6.682500000000001</v>
      </c>
      <c r="F587" s="13">
        <v>0</v>
      </c>
      <c r="G587" s="14" t="s">
        <v>198</v>
      </c>
    </row>
    <row r="588" spans="1:7" x14ac:dyDescent="0.25">
      <c r="A588" s="34" t="str">
        <f>"MUELLE"</f>
        <v>MUELLE</v>
      </c>
      <c r="B588" s="2">
        <v>21</v>
      </c>
      <c r="C588" s="2">
        <v>8</v>
      </c>
      <c r="D588" s="11" t="str">
        <f t="shared" si="19"/>
        <v>UN</v>
      </c>
      <c r="E588" s="12">
        <v>14.850000000000001</v>
      </c>
      <c r="F588" s="13">
        <v>0</v>
      </c>
      <c r="G588" s="14" t="s">
        <v>198</v>
      </c>
    </row>
    <row r="589" spans="1:7" x14ac:dyDescent="0.25">
      <c r="A589" s="34" t="str">
        <f>"MUELLE"</f>
        <v>MUELLE</v>
      </c>
      <c r="B589" s="2">
        <v>21</v>
      </c>
      <c r="C589" s="2">
        <v>2</v>
      </c>
      <c r="D589" s="11" t="str">
        <f t="shared" si="19"/>
        <v>UN</v>
      </c>
      <c r="E589" s="12">
        <v>3.7125000000000004</v>
      </c>
      <c r="F589" s="13">
        <v>0</v>
      </c>
      <c r="G589" s="14" t="s">
        <v>198</v>
      </c>
    </row>
    <row r="590" spans="1:7" x14ac:dyDescent="0.25">
      <c r="A590" s="34" t="str">
        <f>"MUELLE EMPUJADOR"</f>
        <v>MUELLE EMPUJADOR</v>
      </c>
      <c r="B590" s="2">
        <v>21</v>
      </c>
      <c r="C590" s="2">
        <v>18</v>
      </c>
      <c r="D590" s="11" t="str">
        <f t="shared" si="19"/>
        <v>UN</v>
      </c>
      <c r="E590" s="12">
        <v>252.6975000000001</v>
      </c>
      <c r="F590" s="13">
        <v>0</v>
      </c>
      <c r="G590" s="14" t="s">
        <v>198</v>
      </c>
    </row>
    <row r="591" spans="1:7" x14ac:dyDescent="0.25">
      <c r="A591" s="34" t="str">
        <f>"MUELLE Nº30 BUHNEN HB700K"</f>
        <v>MUELLE Nº30 BUHNEN HB700K</v>
      </c>
      <c r="B591" s="2">
        <v>21</v>
      </c>
      <c r="C591" s="2">
        <v>1</v>
      </c>
      <c r="D591" s="11" t="str">
        <f t="shared" si="19"/>
        <v>UN</v>
      </c>
      <c r="E591" s="12">
        <v>4.3862500000000004</v>
      </c>
      <c r="F591" s="13">
        <v>0</v>
      </c>
      <c r="G591" s="14" t="s">
        <v>198</v>
      </c>
    </row>
    <row r="592" spans="1:7" x14ac:dyDescent="0.25">
      <c r="A592" s="34" t="str">
        <f>"MUELLE SA MG30"</f>
        <v>MUELLE SA MG30</v>
      </c>
      <c r="B592" s="2">
        <v>21</v>
      </c>
      <c r="C592" s="2">
        <v>6</v>
      </c>
      <c r="D592" s="11" t="str">
        <f t="shared" si="19"/>
        <v>UN</v>
      </c>
      <c r="E592" s="12">
        <v>0</v>
      </c>
      <c r="F592" s="13">
        <v>0</v>
      </c>
      <c r="G592" s="14" t="s">
        <v>198</v>
      </c>
    </row>
    <row r="593" spans="1:7" x14ac:dyDescent="0.25">
      <c r="A593" s="34" t="str">
        <f>"N6236 MUELLE SA MG30"</f>
        <v>N6236 MUELLE SA MG30</v>
      </c>
      <c r="B593" s="2">
        <v>21</v>
      </c>
      <c r="C593" s="2">
        <v>13</v>
      </c>
      <c r="D593" s="11" t="str">
        <f t="shared" si="19"/>
        <v>UN</v>
      </c>
      <c r="E593" s="12">
        <v>26.812500000000007</v>
      </c>
      <c r="F593" s="13">
        <v>0</v>
      </c>
      <c r="G593" s="14" t="s">
        <v>198</v>
      </c>
    </row>
    <row r="594" spans="1:7" x14ac:dyDescent="0.25">
      <c r="A594" s="34" t="str">
        <f>"N83013 COLLAR = N2250"</f>
        <v>N83013 COLLAR = N2250</v>
      </c>
      <c r="B594" s="2">
        <v>21</v>
      </c>
      <c r="C594" s="2">
        <v>29</v>
      </c>
      <c r="D594" s="11" t="str">
        <f t="shared" si="19"/>
        <v>UN</v>
      </c>
      <c r="E594" s="12">
        <v>68.983750000000015</v>
      </c>
      <c r="F594" s="13">
        <v>0</v>
      </c>
      <c r="G594" s="14" t="s">
        <v>198</v>
      </c>
    </row>
    <row r="595" spans="1:7" x14ac:dyDescent="0.25">
      <c r="A595" s="34" t="str">
        <f>"N83014 JUNTA PISTON SA MG30"</f>
        <v>N83014 JUNTA PISTON SA MG30</v>
      </c>
      <c r="B595" s="2">
        <v>21</v>
      </c>
      <c r="C595" s="2">
        <v>15</v>
      </c>
      <c r="D595" s="11" t="str">
        <f t="shared" si="19"/>
        <v>UN</v>
      </c>
      <c r="E595" s="12">
        <v>27.84375</v>
      </c>
      <c r="F595" s="13">
        <v>0</v>
      </c>
      <c r="G595" s="14" t="s">
        <v>198</v>
      </c>
    </row>
    <row r="596" spans="1:7" x14ac:dyDescent="0.25">
      <c r="A596" s="34" t="str">
        <f>"N83024 JUNTA SA MG30"</f>
        <v>N83024 JUNTA SA MG30</v>
      </c>
      <c r="B596" s="2">
        <v>21</v>
      </c>
      <c r="C596" s="2">
        <v>10</v>
      </c>
      <c r="D596" s="11" t="str">
        <f t="shared" si="19"/>
        <v>UN</v>
      </c>
      <c r="E596" s="12">
        <v>18.5625</v>
      </c>
      <c r="F596" s="13">
        <v>0</v>
      </c>
      <c r="G596" s="14" t="s">
        <v>198</v>
      </c>
    </row>
    <row r="597" spans="1:7" x14ac:dyDescent="0.25">
      <c r="A597" s="34" t="str">
        <f>"N83027 JUNTA VAL.DISP. = N6202"</f>
        <v>N83027 JUNTA VAL.DISP. = N6202</v>
      </c>
      <c r="B597" s="2">
        <v>21</v>
      </c>
      <c r="C597" s="2">
        <v>24</v>
      </c>
      <c r="D597" s="11" t="str">
        <f t="shared" si="19"/>
        <v>UN</v>
      </c>
      <c r="E597" s="12">
        <v>44.550000000000026</v>
      </c>
      <c r="F597" s="13">
        <v>0</v>
      </c>
      <c r="G597" s="14" t="s">
        <v>198</v>
      </c>
    </row>
    <row r="598" spans="1:7" x14ac:dyDescent="0.25">
      <c r="A598" s="34" t="str">
        <f>"N83057 TORNILLO"</f>
        <v>N83057 TORNILLO</v>
      </c>
      <c r="B598" s="2">
        <v>21</v>
      </c>
      <c r="C598" s="2">
        <v>1</v>
      </c>
      <c r="D598" s="11" t="str">
        <f t="shared" si="19"/>
        <v>UN</v>
      </c>
      <c r="E598" s="12">
        <v>1.8562500000000002</v>
      </c>
      <c r="F598" s="13">
        <v>0</v>
      </c>
      <c r="G598" s="14" t="s">
        <v>198</v>
      </c>
    </row>
    <row r="599" spans="1:7" x14ac:dyDescent="0.25">
      <c r="A599" s="34" t="str">
        <f>"Nº 14 MAIN PISTON MAX HN120"</f>
        <v>Nº 14 MAIN PISTON MAX HN120</v>
      </c>
      <c r="B599" s="2">
        <v>21</v>
      </c>
      <c r="C599" s="2">
        <v>2</v>
      </c>
      <c r="D599" s="11" t="str">
        <f t="shared" si="19"/>
        <v>UN</v>
      </c>
      <c r="E599" s="12">
        <v>340.06500000000005</v>
      </c>
      <c r="F599" s="13">
        <v>0</v>
      </c>
      <c r="G599" s="14" t="s">
        <v>198</v>
      </c>
    </row>
    <row r="600" spans="1:7" x14ac:dyDescent="0.25">
      <c r="A600" s="34" t="str">
        <f>"Nº 25 VAL.DISP. SA MG30"</f>
        <v>Nº 25 VAL.DISP. SA MG30</v>
      </c>
      <c r="B600" s="2">
        <v>21</v>
      </c>
      <c r="C600" s="2">
        <v>7</v>
      </c>
      <c r="D600" s="11" t="str">
        <f t="shared" si="19"/>
        <v>UN</v>
      </c>
      <c r="E600" s="12">
        <v>15.592499999999999</v>
      </c>
      <c r="F600" s="13">
        <v>0</v>
      </c>
      <c r="G600" s="14" t="s">
        <v>198</v>
      </c>
    </row>
    <row r="601" spans="1:7" x14ac:dyDescent="0.25">
      <c r="A601" s="34" t="str">
        <f>"Nº 29 PIN MUELLE SA MG30"</f>
        <v>Nº 29 PIN MUELLE SA MG30</v>
      </c>
      <c r="B601" s="2">
        <v>21</v>
      </c>
      <c r="C601" s="2">
        <v>9</v>
      </c>
      <c r="D601" s="11" t="str">
        <f t="shared" si="19"/>
        <v>UN</v>
      </c>
      <c r="E601" s="12">
        <v>66.453750000000014</v>
      </c>
      <c r="F601" s="13">
        <v>0</v>
      </c>
      <c r="G601" s="14" t="s">
        <v>198</v>
      </c>
    </row>
    <row r="602" spans="1:7" x14ac:dyDescent="0.25">
      <c r="A602" s="34" t="str">
        <f>"Nº 40 PISTA SA 1,83x35"</f>
        <v>Nº 40 PISTA SA 1,83x35</v>
      </c>
      <c r="B602" s="2">
        <v>21</v>
      </c>
      <c r="C602" s="2">
        <v>16</v>
      </c>
      <c r="D602" s="11" t="str">
        <f t="shared" si="19"/>
        <v>UN</v>
      </c>
      <c r="E602" s="12">
        <v>304.7</v>
      </c>
      <c r="F602" s="13">
        <v>0</v>
      </c>
      <c r="G602" s="14" t="s">
        <v>198</v>
      </c>
    </row>
    <row r="603" spans="1:7" x14ac:dyDescent="0.25">
      <c r="A603" s="34" t="str">
        <f>"Nº 52 ARANDELA SEGURO SA 14/50 (MS851-1)"</f>
        <v>Nº 52 ARANDELA SEGURO SA 14/50 (MS851-1)</v>
      </c>
      <c r="B603" s="2">
        <v>21</v>
      </c>
      <c r="C603" s="2">
        <v>6</v>
      </c>
      <c r="D603" s="11" t="str">
        <f t="shared" si="19"/>
        <v>UN</v>
      </c>
      <c r="E603" s="12">
        <v>11.137500000000006</v>
      </c>
      <c r="F603" s="13">
        <v>0</v>
      </c>
      <c r="G603" s="14" t="s">
        <v>198</v>
      </c>
    </row>
    <row r="604" spans="1:7" x14ac:dyDescent="0.25">
      <c r="A604" s="34" t="str">
        <f>"Nº 5-6 ARANDELA 1D105 SA14/50-SA CN2765"</f>
        <v>Nº 5-6 ARANDELA 1D105 SA14/50-SA CN2765</v>
      </c>
      <c r="B604" s="2">
        <v>21</v>
      </c>
      <c r="C604" s="2">
        <v>21</v>
      </c>
      <c r="D604" s="11" t="str">
        <f t="shared" si="19"/>
        <v>UN</v>
      </c>
      <c r="E604" s="12">
        <v>38.981250000000003</v>
      </c>
      <c r="F604" s="13">
        <v>0</v>
      </c>
      <c r="G604" s="14" t="s">
        <v>198</v>
      </c>
    </row>
    <row r="605" spans="1:7" x14ac:dyDescent="0.25">
      <c r="A605" s="34" t="str">
        <f>"Nº 63 EMPUJADOR SA MG30"</f>
        <v>Nº 63 EMPUJADOR SA MG30</v>
      </c>
      <c r="B605" s="2">
        <v>21</v>
      </c>
      <c r="C605" s="2">
        <v>16</v>
      </c>
      <c r="D605" s="11" t="str">
        <f t="shared" si="19"/>
        <v>UN</v>
      </c>
      <c r="E605" s="12">
        <v>126.93999999999998</v>
      </c>
      <c r="F605" s="13">
        <v>0</v>
      </c>
      <c r="G605" s="14" t="s">
        <v>198</v>
      </c>
    </row>
    <row r="606" spans="1:7" x14ac:dyDescent="0.25">
      <c r="A606" s="34" t="str">
        <f>"Nº02 DEFLECTOR SA PT640R"</f>
        <v>Nº02 DEFLECTOR SA PT640R</v>
      </c>
      <c r="B606" s="2">
        <v>21</v>
      </c>
      <c r="C606" s="2">
        <v>1</v>
      </c>
      <c r="D606" s="11" t="str">
        <f t="shared" si="19"/>
        <v>UN</v>
      </c>
      <c r="E606" s="12">
        <v>9.96875</v>
      </c>
      <c r="F606" s="13">
        <v>0</v>
      </c>
      <c r="G606" s="14" t="s">
        <v>198</v>
      </c>
    </row>
    <row r="607" spans="1:7" x14ac:dyDescent="0.25">
      <c r="A607" s="34" t="str">
        <f>"Nº03/04 DEFLECTOR SA CN3890/SA RHF13021"</f>
        <v>Nº03/04 DEFLECTOR SA CN3890/SA RHF13021</v>
      </c>
      <c r="B607" s="2">
        <v>21</v>
      </c>
      <c r="C607" s="2">
        <v>4</v>
      </c>
      <c r="D607" s="11" t="str">
        <f t="shared" si="19"/>
        <v>UN</v>
      </c>
      <c r="E607" s="12">
        <v>45.430000000000007</v>
      </c>
      <c r="F607" s="13">
        <v>0</v>
      </c>
      <c r="G607" s="14" t="s">
        <v>198</v>
      </c>
    </row>
    <row r="608" spans="1:7" x14ac:dyDescent="0.25">
      <c r="A608" s="34" t="str">
        <f>"Nº04 TAPA DEFLECTOR SA PT640R"</f>
        <v>Nº04 TAPA DEFLECTOR SA PT640R</v>
      </c>
      <c r="B608" s="2">
        <v>21</v>
      </c>
      <c r="C608" s="2">
        <v>2</v>
      </c>
      <c r="D608" s="11" t="str">
        <f t="shared" si="19"/>
        <v>UN</v>
      </c>
      <c r="E608" s="12">
        <v>27.912500000000005</v>
      </c>
      <c r="F608" s="13">
        <v>0</v>
      </c>
      <c r="G608" s="14" t="s">
        <v>198</v>
      </c>
    </row>
    <row r="609" spans="1:7" x14ac:dyDescent="0.25">
      <c r="A609" s="34" t="str">
        <f>"Nº07 MUELLE SA PT640R"</f>
        <v>Nº07 MUELLE SA PT640R</v>
      </c>
      <c r="B609" s="2">
        <v>21</v>
      </c>
      <c r="C609" s="2">
        <v>1</v>
      </c>
      <c r="D609" s="11" t="str">
        <f t="shared" si="19"/>
        <v>UN</v>
      </c>
      <c r="E609" s="12">
        <v>12.567500000000001</v>
      </c>
      <c r="F609" s="13">
        <v>0</v>
      </c>
      <c r="G609" s="14" t="s">
        <v>198</v>
      </c>
    </row>
    <row r="610" spans="1:7" x14ac:dyDescent="0.25">
      <c r="A610" s="34" t="str">
        <f>"Nº10 FLANGE NUT SA CN3890"</f>
        <v>Nº10 FLANGE NUT SA CN3890</v>
      </c>
      <c r="B610" s="2">
        <v>21</v>
      </c>
      <c r="C610" s="2">
        <v>2</v>
      </c>
      <c r="D610" s="11" t="str">
        <f t="shared" si="19"/>
        <v>UN</v>
      </c>
      <c r="E610" s="12">
        <v>3.7125000000000008</v>
      </c>
      <c r="F610" s="13">
        <v>0</v>
      </c>
      <c r="G610" s="14" t="s">
        <v>198</v>
      </c>
    </row>
    <row r="611" spans="1:7" x14ac:dyDescent="0.25">
      <c r="A611" s="34" t="str">
        <f>"Nº106 PROTEC.SEGURO SA CN2765"</f>
        <v>Nº106 PROTEC.SEGURO SA CN2765</v>
      </c>
      <c r="B611" s="2">
        <v>21</v>
      </c>
      <c r="C611" s="2">
        <v>1</v>
      </c>
      <c r="D611" s="11" t="str">
        <f t="shared" si="19"/>
        <v>UN</v>
      </c>
      <c r="E611" s="12">
        <v>1.8562500000000004</v>
      </c>
      <c r="F611" s="13">
        <v>0</v>
      </c>
      <c r="G611" s="14" t="s">
        <v>198</v>
      </c>
    </row>
    <row r="612" spans="1:7" x14ac:dyDescent="0.25">
      <c r="A612" s="34" t="str">
        <f>"Nº11  SPRING SA CN3890"</f>
        <v>Nº11  SPRING SA CN3890</v>
      </c>
      <c r="B612" s="2">
        <v>21</v>
      </c>
      <c r="C612" s="2">
        <v>2</v>
      </c>
      <c r="D612" s="11" t="str">
        <f t="shared" si="19"/>
        <v>UN</v>
      </c>
      <c r="E612" s="12">
        <v>5.995000000000001</v>
      </c>
      <c r="F612" s="13">
        <v>0</v>
      </c>
      <c r="G612" s="14" t="s">
        <v>198</v>
      </c>
    </row>
    <row r="613" spans="1:7" x14ac:dyDescent="0.25">
      <c r="A613" s="34" t="str">
        <f>"Nº11 HD. VALVE PISTON SA 14/50"</f>
        <v>Nº11 HD. VALVE PISTON SA 14/50</v>
      </c>
      <c r="B613" s="2">
        <v>21</v>
      </c>
      <c r="C613" s="2">
        <v>3</v>
      </c>
      <c r="D613" s="11" t="str">
        <f t="shared" si="19"/>
        <v>UN</v>
      </c>
      <c r="E613" s="12">
        <v>62.040000000000006</v>
      </c>
      <c r="F613" s="13">
        <v>0</v>
      </c>
      <c r="G613" s="14" t="s">
        <v>198</v>
      </c>
    </row>
    <row r="614" spans="1:7" x14ac:dyDescent="0.25">
      <c r="A614" s="34" t="str">
        <f>"Nº110 JUNTA SA CN2765"</f>
        <v>Nº110 JUNTA SA CN2765</v>
      </c>
      <c r="B614" s="2">
        <v>21</v>
      </c>
      <c r="C614" s="2">
        <v>9</v>
      </c>
      <c r="D614" s="11" t="str">
        <f t="shared" si="19"/>
        <v>UN</v>
      </c>
      <c r="E614" s="12">
        <v>22.027500000000003</v>
      </c>
      <c r="F614" s="13">
        <v>0</v>
      </c>
      <c r="G614" s="14" t="s">
        <v>198</v>
      </c>
    </row>
    <row r="615" spans="1:7" x14ac:dyDescent="0.25">
      <c r="A615" s="34" t="str">
        <f>"Nº111 PROTECTOR SA CN2765"</f>
        <v>Nº111 PROTECTOR SA CN2765</v>
      </c>
      <c r="B615" s="2">
        <v>21</v>
      </c>
      <c r="C615" s="2">
        <v>3</v>
      </c>
      <c r="D615" s="11" t="str">
        <f t="shared" si="19"/>
        <v>UN</v>
      </c>
      <c r="E615" s="12">
        <v>14.190000000000001</v>
      </c>
      <c r="F615" s="13">
        <v>0</v>
      </c>
      <c r="G615" s="14" t="s">
        <v>198</v>
      </c>
    </row>
    <row r="616" spans="1:7" x14ac:dyDescent="0.25">
      <c r="A616" s="34" t="str">
        <f>"Nº112  ESPACIADOR SA CN2765"</f>
        <v>Nº112  ESPACIADOR SA CN2765</v>
      </c>
      <c r="B616" s="2">
        <v>21</v>
      </c>
      <c r="C616" s="2">
        <v>4</v>
      </c>
      <c r="D616" s="11" t="str">
        <f t="shared" si="19"/>
        <v>UN</v>
      </c>
      <c r="E616" s="12">
        <v>8.91</v>
      </c>
      <c r="F616" s="13">
        <v>0</v>
      </c>
      <c r="G616" s="14" t="s">
        <v>198</v>
      </c>
    </row>
    <row r="617" spans="1:7" x14ac:dyDescent="0.25">
      <c r="A617" s="34" t="str">
        <f>"Nº12 JUNTA  SA CN3890"</f>
        <v>Nº12 JUNTA  SA CN3890</v>
      </c>
      <c r="B617" s="2">
        <v>21</v>
      </c>
      <c r="C617" s="2">
        <v>2</v>
      </c>
      <c r="D617" s="11" t="str">
        <f t="shared" si="19"/>
        <v>UN</v>
      </c>
      <c r="E617" s="12">
        <v>3.7125000000000004</v>
      </c>
      <c r="F617" s="13">
        <v>0</v>
      </c>
      <c r="G617" s="14" t="s">
        <v>198</v>
      </c>
    </row>
    <row r="618" spans="1:7" x14ac:dyDescent="0.25">
      <c r="A618" s="34" t="str">
        <f>"Nº12 PISTON LENGUETA MAX HN90 (viejo)"</f>
        <v>Nº12 PISTON LENGUETA MAX HN90 (viejo)</v>
      </c>
      <c r="B618" s="2">
        <v>21</v>
      </c>
      <c r="C618" s="2">
        <v>3</v>
      </c>
      <c r="D618" s="11" t="str">
        <f t="shared" si="19"/>
        <v>UN</v>
      </c>
      <c r="E618" s="12">
        <v>351.73874999999998</v>
      </c>
      <c r="F618" s="13">
        <v>0</v>
      </c>
      <c r="G618" s="14" t="s">
        <v>198</v>
      </c>
    </row>
    <row r="619" spans="1:7" x14ac:dyDescent="0.25">
      <c r="A619" s="34" t="str">
        <f>"Nº15 JUNTA SA CN3890"</f>
        <v>Nº15 JUNTA SA CN3890</v>
      </c>
      <c r="B619" s="2">
        <v>21</v>
      </c>
      <c r="C619" s="2">
        <v>7</v>
      </c>
      <c r="D619" s="11" t="str">
        <f t="shared" si="19"/>
        <v>UN</v>
      </c>
      <c r="E619" s="12">
        <v>25.891249999999999</v>
      </c>
      <c r="F619" s="13">
        <v>0</v>
      </c>
      <c r="G619" s="14" t="s">
        <v>198</v>
      </c>
    </row>
    <row r="620" spans="1:7" x14ac:dyDescent="0.25">
      <c r="A620" s="34" t="str">
        <f>"Nº16 CAMISA (CYLINDER A)  MAX HN90"</f>
        <v>Nº16 CAMISA (CYLINDER A)  MAX HN90</v>
      </c>
      <c r="B620" s="2">
        <v>21</v>
      </c>
      <c r="C620" s="2">
        <v>1</v>
      </c>
      <c r="D620" s="11" t="str">
        <f t="shared" si="19"/>
        <v>UN</v>
      </c>
      <c r="E620" s="12">
        <v>101.28249999999998</v>
      </c>
      <c r="F620" s="13">
        <v>0</v>
      </c>
      <c r="G620" s="14" t="s">
        <v>198</v>
      </c>
    </row>
    <row r="621" spans="1:7" x14ac:dyDescent="0.25">
      <c r="A621" s="34" t="str">
        <f>"Nº19 CAMISA SA CN3890"</f>
        <v>Nº19 CAMISA SA CN3890</v>
      </c>
      <c r="B621" s="2">
        <v>21</v>
      </c>
      <c r="C621" s="2">
        <v>2</v>
      </c>
      <c r="D621" s="11" t="str">
        <f t="shared" si="19"/>
        <v>UN</v>
      </c>
      <c r="E621" s="12">
        <v>99.302500000000023</v>
      </c>
      <c r="F621" s="13">
        <v>0</v>
      </c>
      <c r="G621" s="14" t="s">
        <v>198</v>
      </c>
    </row>
    <row r="622" spans="1:7" x14ac:dyDescent="0.25">
      <c r="A622" s="34" t="str">
        <f>"Nº20 JUNTA SA CN3890"</f>
        <v>Nº20 JUNTA SA CN3890</v>
      </c>
      <c r="B622" s="2">
        <v>21</v>
      </c>
      <c r="C622" s="2">
        <v>10</v>
      </c>
      <c r="D622" s="11" t="str">
        <f t="shared" si="19"/>
        <v>UN</v>
      </c>
      <c r="E622" s="12">
        <v>30.662500000000005</v>
      </c>
      <c r="F622" s="13">
        <v>0</v>
      </c>
      <c r="G622" s="14" t="s">
        <v>198</v>
      </c>
    </row>
    <row r="623" spans="1:7" x14ac:dyDescent="0.25">
      <c r="A623" s="34" t="str">
        <f>"Nº21 SPACER SA CN3890"</f>
        <v>Nº21 SPACER SA CN3890</v>
      </c>
      <c r="B623" s="2">
        <v>21</v>
      </c>
      <c r="C623" s="2">
        <v>4</v>
      </c>
      <c r="D623" s="11" t="str">
        <f t="shared" si="19"/>
        <v>UN</v>
      </c>
      <c r="E623" s="12">
        <v>21.725000000000001</v>
      </c>
      <c r="F623" s="13">
        <v>0</v>
      </c>
      <c r="G623" s="14" t="s">
        <v>198</v>
      </c>
    </row>
    <row r="624" spans="1:7" x14ac:dyDescent="0.25">
      <c r="A624" s="34" t="str">
        <f>"Nº21-26 JUNTA SA14/50 - SA CN2765"</f>
        <v>Nº21-26 JUNTA SA14/50 - SA CN2765</v>
      </c>
      <c r="B624" s="2">
        <v>21</v>
      </c>
      <c r="C624" s="2">
        <v>5</v>
      </c>
      <c r="D624" s="11" t="str">
        <f t="shared" si="19"/>
        <v>UN</v>
      </c>
      <c r="E624" s="12">
        <v>11.137499999999999</v>
      </c>
      <c r="F624" s="13">
        <v>0</v>
      </c>
      <c r="G624" s="14" t="s">
        <v>198</v>
      </c>
    </row>
    <row r="625" spans="1:7" x14ac:dyDescent="0.25">
      <c r="A625" s="34" t="str">
        <f>"Nº22 CAMISA SA CN2765"</f>
        <v>Nº22 CAMISA SA CN2765</v>
      </c>
      <c r="B625" s="2">
        <v>21</v>
      </c>
      <c r="C625" s="2">
        <v>2</v>
      </c>
      <c r="D625" s="11" t="str">
        <f t="shared" si="19"/>
        <v>UN</v>
      </c>
      <c r="E625" s="12">
        <v>88.825000000000003</v>
      </c>
      <c r="F625" s="13">
        <v>0</v>
      </c>
      <c r="G625" s="14" t="s">
        <v>198</v>
      </c>
    </row>
    <row r="626" spans="1:7" x14ac:dyDescent="0.25">
      <c r="A626" s="34" t="str">
        <f>"Nº23  VALV.GATILLO SA PT640R"</f>
        <v>Nº23  VALV.GATILLO SA PT640R</v>
      </c>
      <c r="B626" s="2">
        <v>21</v>
      </c>
      <c r="C626" s="2">
        <v>2</v>
      </c>
      <c r="D626" s="11" t="str">
        <f t="shared" si="19"/>
        <v>UN</v>
      </c>
      <c r="E626" s="12">
        <v>24.1175</v>
      </c>
      <c r="F626" s="13">
        <v>0</v>
      </c>
      <c r="G626" s="14" t="s">
        <v>198</v>
      </c>
    </row>
    <row r="627" spans="1:7" x14ac:dyDescent="0.25">
      <c r="A627" s="34" t="str">
        <f>"Nº26 TAPON  SA CN3890"</f>
        <v>Nº26 TAPON  SA CN3890</v>
      </c>
      <c r="B627" s="2">
        <v>21</v>
      </c>
      <c r="C627" s="2">
        <v>6</v>
      </c>
      <c r="D627" s="11" t="str">
        <f t="shared" si="19"/>
        <v>UN</v>
      </c>
      <c r="E627" s="12">
        <v>70.620000000000019</v>
      </c>
      <c r="F627" s="13">
        <v>0</v>
      </c>
      <c r="G627" s="14" t="s">
        <v>198</v>
      </c>
    </row>
    <row r="628" spans="1:7" x14ac:dyDescent="0.25">
      <c r="A628" s="34" t="str">
        <f>"Nº27 END CAP SA CN2765"</f>
        <v>Nº27 END CAP SA CN2765</v>
      </c>
      <c r="B628" s="2">
        <v>21</v>
      </c>
      <c r="C628" s="2">
        <v>8</v>
      </c>
      <c r="D628" s="11" t="str">
        <f t="shared" si="19"/>
        <v>UN</v>
      </c>
      <c r="E628" s="12">
        <v>112.31000000000002</v>
      </c>
      <c r="F628" s="13">
        <v>0</v>
      </c>
      <c r="G628" s="14" t="s">
        <v>198</v>
      </c>
    </row>
    <row r="629" spans="1:7" x14ac:dyDescent="0.25">
      <c r="A629" s="34" t="str">
        <f>"Nº29 CAB.VALV.GATILLO  SA CN2765"</f>
        <v>Nº29 CAB.VALV.GATILLO  SA CN2765</v>
      </c>
      <c r="B629" s="2">
        <v>21</v>
      </c>
      <c r="C629" s="2">
        <v>5</v>
      </c>
      <c r="D629" s="11" t="str">
        <f t="shared" si="19"/>
        <v>UN</v>
      </c>
      <c r="E629" s="12">
        <v>77.96250000000002</v>
      </c>
      <c r="F629" s="13">
        <v>0</v>
      </c>
      <c r="G629" s="14" t="s">
        <v>198</v>
      </c>
    </row>
    <row r="630" spans="1:7" x14ac:dyDescent="0.25">
      <c r="A630" s="34" t="str">
        <f>"Nº29 VALV.GAT. SA PT640R"</f>
        <v>Nº29 VALV.GAT. SA PT640R</v>
      </c>
      <c r="B630" s="2">
        <v>21</v>
      </c>
      <c r="C630" s="2">
        <v>8</v>
      </c>
      <c r="D630" s="11" t="str">
        <f t="shared" si="19"/>
        <v>UN</v>
      </c>
      <c r="E630" s="12">
        <v>32.340000000000003</v>
      </c>
      <c r="F630" s="13">
        <v>0</v>
      </c>
      <c r="G630" s="14" t="s">
        <v>198</v>
      </c>
    </row>
    <row r="631" spans="1:7" x14ac:dyDescent="0.25">
      <c r="A631" s="34" t="str">
        <f>"Nº30  JUNTA  SA CN2765"</f>
        <v>Nº30  JUNTA  SA CN2765</v>
      </c>
      <c r="B631" s="2">
        <v>21</v>
      </c>
      <c r="C631" s="2">
        <v>5</v>
      </c>
      <c r="D631" s="11" t="str">
        <f t="shared" si="19"/>
        <v>UN</v>
      </c>
      <c r="E631" s="12">
        <v>9.2812500000000018</v>
      </c>
      <c r="F631" s="13">
        <v>0</v>
      </c>
      <c r="G631" s="14" t="s">
        <v>198</v>
      </c>
    </row>
    <row r="632" spans="1:7" x14ac:dyDescent="0.25">
      <c r="A632" s="34" t="str">
        <f>"Nº31 PASADOR GAT. SA PT640R"</f>
        <v>Nº31 PASADOR GAT. SA PT640R</v>
      </c>
      <c r="B632" s="2">
        <v>21</v>
      </c>
      <c r="C632" s="2">
        <v>9</v>
      </c>
      <c r="D632" s="11" t="str">
        <f t="shared" si="19"/>
        <v>UN</v>
      </c>
      <c r="E632" s="12">
        <v>43.683750000000011</v>
      </c>
      <c r="F632" s="13">
        <v>0</v>
      </c>
      <c r="G632" s="14" t="s">
        <v>198</v>
      </c>
    </row>
    <row r="633" spans="1:7" x14ac:dyDescent="0.25">
      <c r="A633" s="34" t="str">
        <f>"Nº33  VALV.GATILLO  SA CN2765"</f>
        <v>Nº33  VALV.GATILLO  SA CN2765</v>
      </c>
      <c r="B633" s="2">
        <v>21</v>
      </c>
      <c r="C633" s="2">
        <v>3</v>
      </c>
      <c r="D633" s="11" t="str">
        <f t="shared" si="19"/>
        <v>UN</v>
      </c>
      <c r="E633" s="12">
        <v>39.93</v>
      </c>
      <c r="F633" s="13">
        <v>0</v>
      </c>
      <c r="G633" s="14" t="s">
        <v>198</v>
      </c>
    </row>
    <row r="634" spans="1:7" x14ac:dyDescent="0.25">
      <c r="A634" s="34" t="str">
        <f>"Nº33 VALV.GAT. SA PT640R"</f>
        <v>Nº33 VALV.GAT. SA PT640R</v>
      </c>
      <c r="B634" s="2">
        <v>21</v>
      </c>
      <c r="C634" s="2">
        <v>9</v>
      </c>
      <c r="D634" s="11" t="str">
        <f t="shared" si="19"/>
        <v>UN</v>
      </c>
      <c r="E634" s="12">
        <v>89.71875</v>
      </c>
      <c r="F634" s="13">
        <v>0</v>
      </c>
      <c r="G634" s="14" t="s">
        <v>198</v>
      </c>
    </row>
    <row r="635" spans="1:7" x14ac:dyDescent="0.25">
      <c r="A635" s="34" t="str">
        <f>"Nº34 MUELLE GATILLO SA PT640R"</f>
        <v>Nº34 MUELLE GATILLO SA PT640R</v>
      </c>
      <c r="B635" s="2">
        <v>21</v>
      </c>
      <c r="C635" s="2">
        <v>8</v>
      </c>
      <c r="D635" s="11" t="str">
        <f t="shared" si="19"/>
        <v>UN</v>
      </c>
      <c r="E635" s="12">
        <v>17.71</v>
      </c>
      <c r="F635" s="13">
        <v>0</v>
      </c>
      <c r="G635" s="14" t="s">
        <v>198</v>
      </c>
    </row>
    <row r="636" spans="1:7" x14ac:dyDescent="0.25">
      <c r="A636" s="34" t="str">
        <f>"Nº35 GATILLO SA PT640R"</f>
        <v>Nº35 GATILLO SA PT640R</v>
      </c>
      <c r="B636" s="2">
        <v>21</v>
      </c>
      <c r="C636" s="2">
        <v>4</v>
      </c>
      <c r="D636" s="11" t="str">
        <f t="shared" si="19"/>
        <v>UN</v>
      </c>
      <c r="E636" s="12">
        <v>39.875</v>
      </c>
      <c r="F636" s="13">
        <v>0</v>
      </c>
      <c r="G636" s="14" t="s">
        <v>198</v>
      </c>
    </row>
    <row r="637" spans="1:7" x14ac:dyDescent="0.25">
      <c r="A637" s="34" t="str">
        <f>"Nº35 MUELLE  SA CN2765"</f>
        <v>Nº35 MUELLE  SA CN2765</v>
      </c>
      <c r="B637" s="2">
        <v>21</v>
      </c>
      <c r="C637" s="2">
        <v>8</v>
      </c>
      <c r="D637" s="11" t="str">
        <f t="shared" si="19"/>
        <v>UN</v>
      </c>
      <c r="E637" s="12">
        <v>14.850000000000001</v>
      </c>
      <c r="F637" s="13">
        <v>0</v>
      </c>
      <c r="G637" s="14" t="s">
        <v>198</v>
      </c>
    </row>
    <row r="638" spans="1:7" x14ac:dyDescent="0.25">
      <c r="A638" s="34" t="str">
        <f>"Nº36 PASADOR GATILLO SA PT640R"</f>
        <v>Nº36 PASADOR GATILLO SA PT640R</v>
      </c>
      <c r="B638" s="2">
        <v>21</v>
      </c>
      <c r="C638" s="2">
        <v>6</v>
      </c>
      <c r="D638" s="11" t="str">
        <f t="shared" si="19"/>
        <v>UN</v>
      </c>
      <c r="E638" s="12">
        <v>24.25500000000001</v>
      </c>
      <c r="F638" s="13">
        <v>0</v>
      </c>
      <c r="G638" s="14" t="s">
        <v>198</v>
      </c>
    </row>
    <row r="639" spans="1:7" x14ac:dyDescent="0.25">
      <c r="A639" s="34" t="str">
        <f>"Nº36 VALVULA  SA CN2765"</f>
        <v>Nº36 VALVULA  SA CN2765</v>
      </c>
      <c r="B639" s="2">
        <v>21</v>
      </c>
      <c r="C639" s="2">
        <v>6</v>
      </c>
      <c r="D639" s="11" t="str">
        <f t="shared" si="19"/>
        <v>UN</v>
      </c>
      <c r="E639" s="12">
        <v>41.745000000000005</v>
      </c>
      <c r="F639" s="13">
        <v>0</v>
      </c>
      <c r="G639" s="14" t="s">
        <v>198</v>
      </c>
    </row>
    <row r="640" spans="1:7" x14ac:dyDescent="0.25">
      <c r="A640" s="34" t="str">
        <f>"Nº37 GUIA SEGURO SA CN3890"</f>
        <v>Nº37 GUIA SEGURO SA CN3890</v>
      </c>
      <c r="B640" s="2">
        <v>21</v>
      </c>
      <c r="C640" s="2">
        <v>5</v>
      </c>
      <c r="D640" s="11" t="str">
        <f t="shared" si="19"/>
        <v>UN</v>
      </c>
      <c r="E640" s="12">
        <v>17.875</v>
      </c>
      <c r="F640" s="13">
        <v>0</v>
      </c>
      <c r="G640" s="14" t="s">
        <v>198</v>
      </c>
    </row>
    <row r="641" spans="1:7" x14ac:dyDescent="0.25">
      <c r="A641" s="34" t="str">
        <f>"Nº37 TORN. TAPA MORRO SA PT640R"</f>
        <v>Nº37 TORN. TAPA MORRO SA PT640R</v>
      </c>
      <c r="B641" s="2">
        <v>21</v>
      </c>
      <c r="C641" s="2">
        <v>10</v>
      </c>
      <c r="D641" s="11" t="str">
        <f t="shared" si="19"/>
        <v>UN</v>
      </c>
      <c r="E641" s="12">
        <v>18.562500000000004</v>
      </c>
      <c r="F641" s="13">
        <v>0</v>
      </c>
      <c r="G641" s="14" t="s">
        <v>198</v>
      </c>
    </row>
    <row r="642" spans="1:7" x14ac:dyDescent="0.25">
      <c r="A642" s="34" t="str">
        <f>"Nº38 GUIA VALV.GATILLO SA CN27656"</f>
        <v>Nº38 GUIA VALV.GATILLO SA CN27656</v>
      </c>
      <c r="B642" s="2">
        <v>21</v>
      </c>
      <c r="C642" s="2">
        <v>18</v>
      </c>
      <c r="D642" s="11" t="str">
        <f t="shared" si="19"/>
        <v>UN</v>
      </c>
      <c r="E642" s="12">
        <v>245.52</v>
      </c>
      <c r="F642" s="13">
        <v>0</v>
      </c>
      <c r="G642" s="14" t="s">
        <v>198</v>
      </c>
    </row>
    <row r="643" spans="1:7" x14ac:dyDescent="0.25">
      <c r="A643" s="34" t="str">
        <f>"Nº39 PASADOR GATILLO SA 14/50"</f>
        <v>Nº39 PASADOR GATILLO SA 14/50</v>
      </c>
      <c r="B643" s="2">
        <v>21</v>
      </c>
      <c r="C643" s="2">
        <v>11</v>
      </c>
      <c r="D643" s="11" t="str">
        <f t="shared" si="19"/>
        <v>UN</v>
      </c>
      <c r="E643" s="12">
        <v>20.872500000000002</v>
      </c>
      <c r="F643" s="13">
        <v>0</v>
      </c>
      <c r="G643" s="14" t="s">
        <v>198</v>
      </c>
    </row>
    <row r="644" spans="1:7" x14ac:dyDescent="0.25">
      <c r="A644" s="34" t="str">
        <f>"Nº40/29 PASADOR SA CN2765/3890"</f>
        <v>Nº40/29 PASADOR SA CN2765/3890</v>
      </c>
      <c r="B644" s="2">
        <v>21</v>
      </c>
      <c r="C644" s="2">
        <v>17</v>
      </c>
      <c r="D644" s="11" t="str">
        <f t="shared" si="19"/>
        <v>UN</v>
      </c>
      <c r="E644" s="12">
        <v>31.556250000000002</v>
      </c>
      <c r="F644" s="13">
        <v>0</v>
      </c>
      <c r="G644" s="14" t="s">
        <v>198</v>
      </c>
    </row>
    <row r="645" spans="1:7" x14ac:dyDescent="0.25">
      <c r="A645" s="34" t="str">
        <f>"Nº41 SETTING KNOB SA CN3890"</f>
        <v>Nº41 SETTING KNOB SA CN3890</v>
      </c>
      <c r="B645" s="2">
        <v>21</v>
      </c>
      <c r="C645" s="2">
        <v>6</v>
      </c>
      <c r="D645" s="11" t="str">
        <f t="shared" si="19"/>
        <v>UN</v>
      </c>
      <c r="E645" s="12">
        <v>14.932499999999997</v>
      </c>
      <c r="F645" s="13">
        <v>0</v>
      </c>
      <c r="G645" s="14" t="s">
        <v>198</v>
      </c>
    </row>
    <row r="646" spans="1:7" x14ac:dyDescent="0.25">
      <c r="A646" s="34" t="str">
        <f>"Nº41 THROTTLE UNIT SA CN27656"</f>
        <v>Nº41 THROTTLE UNIT SA CN27656</v>
      </c>
      <c r="B646" s="2">
        <v>21</v>
      </c>
      <c r="C646" s="2">
        <v>3</v>
      </c>
      <c r="D646" s="11" t="str">
        <f t="shared" si="19"/>
        <v>UN</v>
      </c>
      <c r="E646" s="12">
        <v>66.041249999999991</v>
      </c>
      <c r="F646" s="13">
        <v>0</v>
      </c>
      <c r="G646" s="14" t="s">
        <v>198</v>
      </c>
    </row>
    <row r="647" spans="1:7" x14ac:dyDescent="0.25">
      <c r="A647" s="34" t="str">
        <f>"Nº42 MUELLE SA CN2765"</f>
        <v>Nº42 MUELLE SA CN2765</v>
      </c>
      <c r="B647" s="2">
        <v>21</v>
      </c>
      <c r="C647" s="2">
        <v>8</v>
      </c>
      <c r="D647" s="11" t="str">
        <f t="shared" si="19"/>
        <v>UN</v>
      </c>
      <c r="E647" s="12">
        <v>14.850000000000001</v>
      </c>
      <c r="F647" s="13">
        <v>0</v>
      </c>
      <c r="G647" s="14" t="s">
        <v>198</v>
      </c>
    </row>
    <row r="648" spans="1:7" x14ac:dyDescent="0.25">
      <c r="A648" s="34" t="str">
        <f>"Nº42/50 PASADOR SA CN3890/2765"</f>
        <v>Nº42/50 PASADOR SA CN3890/2765</v>
      </c>
      <c r="B648" s="2">
        <v>21</v>
      </c>
      <c r="C648" s="2">
        <v>9</v>
      </c>
      <c r="D648" s="11" t="str">
        <f t="shared" si="19"/>
        <v>UN</v>
      </c>
      <c r="E648" s="12">
        <v>16.706250000000001</v>
      </c>
      <c r="F648" s="13">
        <v>0</v>
      </c>
      <c r="G648" s="14" t="s">
        <v>198</v>
      </c>
    </row>
    <row r="649" spans="1:7" x14ac:dyDescent="0.25">
      <c r="A649" s="34" t="str">
        <f>"Nº43 BUSHING SA CN3890"</f>
        <v>Nº43 BUSHING SA CN3890</v>
      </c>
      <c r="B649" s="2">
        <v>21</v>
      </c>
      <c r="C649" s="2">
        <v>9</v>
      </c>
      <c r="D649" s="11" t="str">
        <f t="shared" si="19"/>
        <v>UN</v>
      </c>
      <c r="E649" s="12">
        <v>18.810000000000002</v>
      </c>
      <c r="F649" s="13">
        <v>0</v>
      </c>
      <c r="G649" s="14" t="s">
        <v>198</v>
      </c>
    </row>
    <row r="650" spans="1:7" x14ac:dyDescent="0.25">
      <c r="A650" s="34" t="str">
        <f>"Nº43 STEEL BALL SA CN2765"</f>
        <v>Nº43 STEEL BALL SA CN2765</v>
      </c>
      <c r="B650" s="2">
        <v>21</v>
      </c>
      <c r="C650" s="2">
        <v>7</v>
      </c>
      <c r="D650" s="11" t="str">
        <f t="shared" ref="D650:D713" si="20">"UN"</f>
        <v>UN</v>
      </c>
      <c r="E650" s="12">
        <v>12.993750000000004</v>
      </c>
      <c r="F650" s="13">
        <v>0</v>
      </c>
      <c r="G650" s="14" t="s">
        <v>198</v>
      </c>
    </row>
    <row r="651" spans="1:7" x14ac:dyDescent="0.25">
      <c r="A651" s="34" t="str">
        <f>"Nº44 CIRCLIP SA CN2765"</f>
        <v>Nº44 CIRCLIP SA CN2765</v>
      </c>
      <c r="B651" s="2">
        <v>21</v>
      </c>
      <c r="C651" s="2">
        <v>7</v>
      </c>
      <c r="D651" s="11" t="str">
        <f t="shared" si="20"/>
        <v>UN</v>
      </c>
      <c r="E651" s="12">
        <v>12.99375</v>
      </c>
      <c r="F651" s="13">
        <v>0</v>
      </c>
      <c r="G651" s="14" t="s">
        <v>198</v>
      </c>
    </row>
    <row r="652" spans="1:7" x14ac:dyDescent="0.25">
      <c r="A652" s="34" t="str">
        <f>"Nº44-55 SETTING SCREW SA CN3890/2765"</f>
        <v>Nº44-55 SETTING SCREW SA CN3890/2765</v>
      </c>
      <c r="B652" s="2">
        <v>21</v>
      </c>
      <c r="C652" s="2">
        <v>9</v>
      </c>
      <c r="D652" s="11" t="str">
        <f t="shared" si="20"/>
        <v>UN</v>
      </c>
      <c r="E652" s="12">
        <v>71.403749999999988</v>
      </c>
      <c r="F652" s="13">
        <v>0</v>
      </c>
      <c r="G652" s="14" t="s">
        <v>198</v>
      </c>
    </row>
    <row r="653" spans="1:7" x14ac:dyDescent="0.25">
      <c r="A653" s="34" t="str">
        <f>"Nº45 MUELLE SA CN27656"</f>
        <v>Nº45 MUELLE SA CN27656</v>
      </c>
      <c r="B653" s="2">
        <v>21</v>
      </c>
      <c r="C653" s="2">
        <v>10</v>
      </c>
      <c r="D653" s="11" t="str">
        <f t="shared" si="20"/>
        <v>UN</v>
      </c>
      <c r="E653" s="12">
        <v>18.562500000000004</v>
      </c>
      <c r="F653" s="13">
        <v>0</v>
      </c>
      <c r="G653" s="14" t="s">
        <v>198</v>
      </c>
    </row>
    <row r="654" spans="1:7" x14ac:dyDescent="0.25">
      <c r="A654" s="34" t="str">
        <f>"Nº45 PISTA SA PT640R"</f>
        <v>Nº45 PISTA SA PT640R</v>
      </c>
      <c r="B654" s="2">
        <v>21</v>
      </c>
      <c r="C654" s="2">
        <v>1</v>
      </c>
      <c r="D654" s="11" t="str">
        <f t="shared" si="20"/>
        <v>UN</v>
      </c>
      <c r="E654" s="12">
        <v>34.553750000000001</v>
      </c>
      <c r="F654" s="13">
        <v>0</v>
      </c>
      <c r="G654" s="14" t="s">
        <v>198</v>
      </c>
    </row>
    <row r="655" spans="1:7" x14ac:dyDescent="0.25">
      <c r="A655" s="34" t="str">
        <f>"Nº4-5-28 SA 14/50-SA CN2765-CN3890"</f>
        <v>Nº4-5-28 SA 14/50-SA CN2765-CN3890</v>
      </c>
      <c r="B655" s="2">
        <v>21</v>
      </c>
      <c r="C655" s="2">
        <v>3</v>
      </c>
      <c r="D655" s="11" t="str">
        <f t="shared" si="20"/>
        <v>UN</v>
      </c>
      <c r="E655" s="12">
        <v>5.5687500000000014</v>
      </c>
      <c r="F655" s="13">
        <v>0</v>
      </c>
      <c r="G655" s="14" t="s">
        <v>198</v>
      </c>
    </row>
    <row r="656" spans="1:7" x14ac:dyDescent="0.25">
      <c r="A656" s="34" t="str">
        <f>"Nº47 MUELLE SA CN2765"</f>
        <v>Nº47 MUELLE SA CN2765</v>
      </c>
      <c r="B656" s="2">
        <v>21</v>
      </c>
      <c r="C656" s="2">
        <v>9</v>
      </c>
      <c r="D656" s="11" t="str">
        <f t="shared" si="20"/>
        <v>UN</v>
      </c>
      <c r="E656" s="12">
        <v>16.706250000000001</v>
      </c>
      <c r="F656" s="13">
        <v>0</v>
      </c>
      <c r="G656" s="14" t="s">
        <v>198</v>
      </c>
    </row>
    <row r="657" spans="1:7" x14ac:dyDescent="0.25">
      <c r="A657" s="34" t="str">
        <f>"Nº47 PIEZA PISTA SA PT640R"</f>
        <v>Nº47 PIEZA PISTA SA PT640R</v>
      </c>
      <c r="B657" s="2">
        <v>21</v>
      </c>
      <c r="C657" s="2">
        <v>3</v>
      </c>
      <c r="D657" s="11" t="str">
        <f t="shared" si="20"/>
        <v>UN</v>
      </c>
      <c r="E657" s="12">
        <v>46.983750000000015</v>
      </c>
      <c r="F657" s="13">
        <v>0</v>
      </c>
      <c r="G657" s="14" t="s">
        <v>198</v>
      </c>
    </row>
    <row r="658" spans="1:7" x14ac:dyDescent="0.25">
      <c r="A658" s="34" t="str">
        <f>"Nº48 FLEJE PISTA SA PT640R"</f>
        <v>Nº48 FLEJE PISTA SA PT640R</v>
      </c>
      <c r="B658" s="2">
        <v>21</v>
      </c>
      <c r="C658" s="2">
        <v>6</v>
      </c>
      <c r="D658" s="11" t="str">
        <f t="shared" si="20"/>
        <v>UN</v>
      </c>
      <c r="E658" s="12">
        <v>60.472500000000025</v>
      </c>
      <c r="F658" s="13">
        <v>0</v>
      </c>
      <c r="G658" s="14" t="s">
        <v>198</v>
      </c>
    </row>
    <row r="659" spans="1:7" x14ac:dyDescent="0.25">
      <c r="A659" s="34" t="str">
        <f>"Nº48 PASADOR SA CN2765"</f>
        <v>Nº48 PASADOR SA CN2765</v>
      </c>
      <c r="B659" s="2">
        <v>21</v>
      </c>
      <c r="C659" s="2">
        <v>4</v>
      </c>
      <c r="D659" s="11" t="str">
        <f t="shared" si="20"/>
        <v>UN</v>
      </c>
      <c r="E659" s="12">
        <v>37.015000000000008</v>
      </c>
      <c r="F659" s="13">
        <v>0</v>
      </c>
      <c r="G659" s="14" t="s">
        <v>198</v>
      </c>
    </row>
    <row r="660" spans="1:7" x14ac:dyDescent="0.25">
      <c r="A660" s="34" t="str">
        <f>"Nº49 ENGANCHE PISTA SA PT640R"</f>
        <v>Nº49 ENGANCHE PISTA SA PT640R</v>
      </c>
      <c r="B660" s="2">
        <v>21</v>
      </c>
      <c r="C660" s="2">
        <v>5</v>
      </c>
      <c r="D660" s="11" t="str">
        <f t="shared" si="20"/>
        <v>UN</v>
      </c>
      <c r="E660" s="12">
        <v>78.306250000000006</v>
      </c>
      <c r="F660" s="13">
        <v>0</v>
      </c>
      <c r="G660" s="14" t="s">
        <v>198</v>
      </c>
    </row>
    <row r="661" spans="1:7" x14ac:dyDescent="0.25">
      <c r="A661" s="34" t="str">
        <f>"Nº50 TORNILLO SA MG30"</f>
        <v>Nº50 TORNILLO SA MG30</v>
      </c>
      <c r="B661" s="2">
        <v>21</v>
      </c>
      <c r="C661" s="2">
        <v>7</v>
      </c>
      <c r="D661" s="11" t="str">
        <f t="shared" si="20"/>
        <v>UN</v>
      </c>
      <c r="E661" s="12">
        <v>13.282500000000001</v>
      </c>
      <c r="F661" s="13">
        <v>0</v>
      </c>
      <c r="G661" s="14" t="s">
        <v>198</v>
      </c>
    </row>
    <row r="662" spans="1:7" x14ac:dyDescent="0.25">
      <c r="A662" s="34" t="str">
        <f>"Nº51 MUELLE SA CN2765"</f>
        <v>Nº51 MUELLE SA CN2765</v>
      </c>
      <c r="B662" s="2">
        <v>21</v>
      </c>
      <c r="C662" s="2">
        <v>9</v>
      </c>
      <c r="D662" s="11" t="str">
        <f t="shared" si="20"/>
        <v>UN</v>
      </c>
      <c r="E662" s="12">
        <v>16.706250000000001</v>
      </c>
      <c r="F662" s="13">
        <v>0</v>
      </c>
      <c r="G662" s="14" t="s">
        <v>198</v>
      </c>
    </row>
    <row r="663" spans="1:7" x14ac:dyDescent="0.25">
      <c r="A663" s="34" t="str">
        <f>"Nº52 JUNTA SA CN2765"</f>
        <v>Nº52 JUNTA SA CN2765</v>
      </c>
      <c r="B663" s="2">
        <v>21</v>
      </c>
      <c r="C663" s="2">
        <v>4</v>
      </c>
      <c r="D663" s="11" t="str">
        <f t="shared" si="20"/>
        <v>UN</v>
      </c>
      <c r="E663" s="12">
        <v>7.4250000000000007</v>
      </c>
      <c r="F663" s="13">
        <v>0</v>
      </c>
      <c r="G663" s="14" t="s">
        <v>198</v>
      </c>
    </row>
    <row r="664" spans="1:7" x14ac:dyDescent="0.25">
      <c r="A664" s="34" t="str">
        <f>"Nº54 JUNTA SA CN2765"</f>
        <v>Nº54 JUNTA SA CN2765</v>
      </c>
      <c r="B664" s="2">
        <v>21</v>
      </c>
      <c r="C664" s="2">
        <v>3</v>
      </c>
      <c r="D664" s="11" t="str">
        <f t="shared" si="20"/>
        <v>UN</v>
      </c>
      <c r="E664" s="12">
        <v>5.5687500000000014</v>
      </c>
      <c r="F664" s="13">
        <v>0</v>
      </c>
      <c r="G664" s="14" t="s">
        <v>198</v>
      </c>
    </row>
    <row r="665" spans="1:7" x14ac:dyDescent="0.25">
      <c r="A665" s="34" t="str">
        <f>"Nº54 TORNILLO SA PT640R"</f>
        <v>Nº54 TORNILLO SA PT640R</v>
      </c>
      <c r="B665" s="2">
        <v>21</v>
      </c>
      <c r="C665" s="2">
        <v>9</v>
      </c>
      <c r="D665" s="11" t="str">
        <f t="shared" si="20"/>
        <v>UN</v>
      </c>
      <c r="E665" s="12">
        <v>16.706250000000001</v>
      </c>
      <c r="F665" s="13">
        <v>0</v>
      </c>
      <c r="G665" s="14" t="s">
        <v>198</v>
      </c>
    </row>
    <row r="666" spans="1:7" x14ac:dyDescent="0.25">
      <c r="A666" s="34" t="str">
        <f>"Nº55 CUBRE PISTA SA PT640R"</f>
        <v>Nº55 CUBRE PISTA SA PT640R</v>
      </c>
      <c r="B666" s="2">
        <v>21</v>
      </c>
      <c r="C666" s="2">
        <v>1</v>
      </c>
      <c r="D666" s="11" t="str">
        <f t="shared" si="20"/>
        <v>UN</v>
      </c>
      <c r="E666" s="12">
        <v>33.756250000000009</v>
      </c>
      <c r="F666" s="13">
        <v>0</v>
      </c>
      <c r="G666" s="14" t="s">
        <v>198</v>
      </c>
    </row>
    <row r="667" spans="1:7" x14ac:dyDescent="0.25">
      <c r="A667" s="34" t="str">
        <f>"Nº56 EMPUJADOR SA RHF13021"</f>
        <v>Nº56 EMPUJADOR SA RHF13021</v>
      </c>
      <c r="B667" s="2">
        <v>21</v>
      </c>
      <c r="C667" s="2">
        <v>3</v>
      </c>
      <c r="D667" s="11" t="str">
        <f t="shared" si="20"/>
        <v>UN</v>
      </c>
      <c r="E667" s="12">
        <v>73.631250000000009</v>
      </c>
      <c r="F667" s="13">
        <v>0</v>
      </c>
      <c r="G667" s="14" t="s">
        <v>198</v>
      </c>
    </row>
    <row r="668" spans="1:7" x14ac:dyDescent="0.25">
      <c r="A668" s="34" t="str">
        <f>"Nº56 JUNTA SA CN2765"</f>
        <v>Nº56 JUNTA SA CN2765</v>
      </c>
      <c r="B668" s="2">
        <v>21</v>
      </c>
      <c r="C668" s="2">
        <v>12</v>
      </c>
      <c r="D668" s="11" t="str">
        <f t="shared" si="20"/>
        <v>UN</v>
      </c>
      <c r="E668" s="12">
        <v>22.275000000000013</v>
      </c>
      <c r="F668" s="13">
        <v>0</v>
      </c>
      <c r="G668" s="14" t="s">
        <v>198</v>
      </c>
    </row>
    <row r="669" spans="1:7" x14ac:dyDescent="0.25">
      <c r="A669" s="34" t="str">
        <f>"Nº57 SAFETY APRON SACN2765"</f>
        <v>Nº57 SAFETY APRON SACN2765</v>
      </c>
      <c r="B669" s="2">
        <v>21</v>
      </c>
      <c r="C669" s="2">
        <v>3</v>
      </c>
      <c r="D669" s="11" t="str">
        <f t="shared" si="20"/>
        <v>UN</v>
      </c>
      <c r="E669" s="12">
        <v>11.426250000000001</v>
      </c>
      <c r="F669" s="13">
        <v>0</v>
      </c>
      <c r="G669" s="14" t="s">
        <v>198</v>
      </c>
    </row>
    <row r="670" spans="1:7" x14ac:dyDescent="0.25">
      <c r="A670" s="34" t="str">
        <f>"Nº57 TOPE PISTA SA PT640R"</f>
        <v>Nº57 TOPE PISTA SA PT640R</v>
      </c>
      <c r="B670" s="2">
        <v>21</v>
      </c>
      <c r="C670" s="2">
        <v>10</v>
      </c>
      <c r="D670" s="11" t="str">
        <f t="shared" si="20"/>
        <v>UN</v>
      </c>
      <c r="E670" s="12">
        <v>134.61250000000001</v>
      </c>
      <c r="F670" s="13">
        <v>0</v>
      </c>
      <c r="G670" s="14" t="s">
        <v>198</v>
      </c>
    </row>
    <row r="671" spans="1:7" x14ac:dyDescent="0.25">
      <c r="A671" s="34" t="str">
        <f>"Nº59  TUBO MUELLE EMP. SA RHF13021"</f>
        <v>Nº59  TUBO MUELLE EMP. SA RHF13021</v>
      </c>
      <c r="B671" s="2">
        <v>21</v>
      </c>
      <c r="C671" s="2">
        <v>3</v>
      </c>
      <c r="D671" s="11" t="str">
        <f t="shared" si="20"/>
        <v>UN</v>
      </c>
      <c r="E671" s="12">
        <v>14.561250000000005</v>
      </c>
      <c r="F671" s="13">
        <v>0</v>
      </c>
      <c r="G671" s="14" t="s">
        <v>198</v>
      </c>
    </row>
    <row r="672" spans="1:7" x14ac:dyDescent="0.25">
      <c r="A672" s="34" t="str">
        <f>"Nº60 GATILLO SA CN2765"</f>
        <v>Nº60 GATILLO SA CN2765</v>
      </c>
      <c r="B672" s="2">
        <v>21</v>
      </c>
      <c r="C672" s="2">
        <v>5</v>
      </c>
      <c r="D672" s="11" t="str">
        <f t="shared" si="20"/>
        <v>UN</v>
      </c>
      <c r="E672" s="12">
        <v>16.775000000000002</v>
      </c>
      <c r="F672" s="13">
        <v>0</v>
      </c>
      <c r="G672" s="14" t="s">
        <v>198</v>
      </c>
    </row>
    <row r="673" spans="1:7" x14ac:dyDescent="0.25">
      <c r="A673" s="34" t="str">
        <f>"Nº61 TRIGGER PLATE CN2765"</f>
        <v>Nº61 TRIGGER PLATE CN2765</v>
      </c>
      <c r="B673" s="2">
        <v>21</v>
      </c>
      <c r="C673" s="2">
        <v>4</v>
      </c>
      <c r="D673" s="11" t="str">
        <f t="shared" si="20"/>
        <v>UN</v>
      </c>
      <c r="E673" s="12">
        <v>8.91</v>
      </c>
      <c r="F673" s="13">
        <v>0</v>
      </c>
      <c r="G673" s="14" t="s">
        <v>198</v>
      </c>
    </row>
    <row r="674" spans="1:7" x14ac:dyDescent="0.25">
      <c r="A674" s="34" t="str">
        <f>"Nº62 SPRING PIN CN2765"</f>
        <v>Nº62 SPRING PIN CN2765</v>
      </c>
      <c r="B674" s="2">
        <v>21</v>
      </c>
      <c r="C674" s="2">
        <v>7</v>
      </c>
      <c r="D674" s="11" t="str">
        <f t="shared" si="20"/>
        <v>UN</v>
      </c>
      <c r="E674" s="12">
        <v>12.99375</v>
      </c>
      <c r="F674" s="13">
        <v>0</v>
      </c>
      <c r="G674" s="14" t="s">
        <v>198</v>
      </c>
    </row>
    <row r="675" spans="1:7" x14ac:dyDescent="0.25">
      <c r="A675" s="34" t="str">
        <f>"Nº63 PASADOR SA CN27656"</f>
        <v>Nº63 PASADOR SA CN27656</v>
      </c>
      <c r="B675" s="2">
        <v>21</v>
      </c>
      <c r="C675" s="2">
        <v>10</v>
      </c>
      <c r="D675" s="11" t="str">
        <f t="shared" si="20"/>
        <v>UN</v>
      </c>
      <c r="E675" s="12">
        <v>22.274999999999999</v>
      </c>
      <c r="F675" s="13">
        <v>0</v>
      </c>
      <c r="G675" s="14" t="s">
        <v>198</v>
      </c>
    </row>
    <row r="676" spans="1:7" x14ac:dyDescent="0.25">
      <c r="A676" s="34" t="str">
        <f>"Nº65 JUNTA SA CN2765"</f>
        <v>Nº65 JUNTA SA CN2765</v>
      </c>
      <c r="B676" s="2">
        <v>21</v>
      </c>
      <c r="C676" s="2">
        <v>10</v>
      </c>
      <c r="D676" s="11" t="str">
        <f t="shared" si="20"/>
        <v>UN</v>
      </c>
      <c r="E676" s="12">
        <v>18.5625</v>
      </c>
      <c r="F676" s="13">
        <v>0</v>
      </c>
      <c r="G676" s="14" t="s">
        <v>198</v>
      </c>
    </row>
    <row r="677" spans="1:7" x14ac:dyDescent="0.25">
      <c r="A677" s="34" t="str">
        <f>"Nº66 GATILLO SA PT640R"</f>
        <v>Nº66 GATILLO SA PT640R</v>
      </c>
      <c r="B677" s="2">
        <v>21</v>
      </c>
      <c r="C677" s="2">
        <v>6</v>
      </c>
      <c r="D677" s="11" t="str">
        <f t="shared" si="20"/>
        <v>UN</v>
      </c>
      <c r="E677" s="12">
        <v>11.137500000000003</v>
      </c>
      <c r="F677" s="13">
        <v>0</v>
      </c>
      <c r="G677" s="14" t="s">
        <v>198</v>
      </c>
    </row>
    <row r="678" spans="1:7" x14ac:dyDescent="0.25">
      <c r="A678" s="34" t="str">
        <f>"Nº67 FEED PISTON SA CN2765"</f>
        <v>Nº67 FEED PISTON SA CN2765</v>
      </c>
      <c r="B678" s="2">
        <v>21</v>
      </c>
      <c r="C678" s="2">
        <v>2</v>
      </c>
      <c r="D678" s="11" t="str">
        <f t="shared" si="20"/>
        <v>UN</v>
      </c>
      <c r="E678" s="12">
        <v>31.790000000000003</v>
      </c>
      <c r="F678" s="13">
        <v>0</v>
      </c>
      <c r="G678" s="14" t="s">
        <v>198</v>
      </c>
    </row>
    <row r="679" spans="1:7" x14ac:dyDescent="0.25">
      <c r="A679" s="34" t="str">
        <f>"Nº67 PASADOR GATILLO SA PT640R"</f>
        <v>Nº67 PASADOR GATILLO SA PT640R</v>
      </c>
      <c r="B679" s="2">
        <v>21</v>
      </c>
      <c r="C679" s="2">
        <v>6</v>
      </c>
      <c r="D679" s="11" t="str">
        <f t="shared" si="20"/>
        <v>UN</v>
      </c>
      <c r="E679" s="12">
        <v>60.472500000000025</v>
      </c>
      <c r="F679" s="13">
        <v>0</v>
      </c>
      <c r="G679" s="14" t="s">
        <v>198</v>
      </c>
    </row>
    <row r="680" spans="1:7" x14ac:dyDescent="0.25">
      <c r="A680" s="34" t="str">
        <f>"Nº68 MUELLE SA CN2765"</f>
        <v>Nº68 MUELLE SA CN2765</v>
      </c>
      <c r="B680" s="2">
        <v>21</v>
      </c>
      <c r="C680" s="2">
        <v>4</v>
      </c>
      <c r="D680" s="11" t="str">
        <f t="shared" si="20"/>
        <v>UN</v>
      </c>
      <c r="E680" s="12">
        <v>8.8550000000000004</v>
      </c>
      <c r="F680" s="13">
        <v>0</v>
      </c>
      <c r="G680" s="14" t="s">
        <v>198</v>
      </c>
    </row>
    <row r="681" spans="1:7" x14ac:dyDescent="0.25">
      <c r="A681" s="34" t="str">
        <f>"Nº69 TAPA MORRO SA CN3890"</f>
        <v>Nº69 TAPA MORRO SA CN3890</v>
      </c>
      <c r="B681" s="2">
        <v>21</v>
      </c>
      <c r="C681" s="2">
        <v>3</v>
      </c>
      <c r="D681" s="11" t="str">
        <f t="shared" si="20"/>
        <v>UN</v>
      </c>
      <c r="E681" s="12">
        <v>114.17999999999999</v>
      </c>
      <c r="F681" s="13">
        <v>0</v>
      </c>
      <c r="G681" s="14" t="s">
        <v>198</v>
      </c>
    </row>
    <row r="682" spans="1:7" x14ac:dyDescent="0.25">
      <c r="A682" s="34" t="str">
        <f>"Nº70 JUNTA PESTILLO SA CN2765"</f>
        <v>Nº70 JUNTA PESTILLO SA CN2765</v>
      </c>
      <c r="B682" s="2">
        <v>21</v>
      </c>
      <c r="C682" s="2">
        <v>10</v>
      </c>
      <c r="D682" s="11" t="str">
        <f t="shared" si="20"/>
        <v>UN</v>
      </c>
      <c r="E682" s="12">
        <v>29.975000000000001</v>
      </c>
      <c r="F682" s="13">
        <v>0</v>
      </c>
      <c r="G682" s="14" t="s">
        <v>198</v>
      </c>
    </row>
    <row r="683" spans="1:7" x14ac:dyDescent="0.25">
      <c r="A683" s="34" t="str">
        <f>"Nº71 C-RING CN2765"</f>
        <v>Nº71 C-RING CN2765</v>
      </c>
      <c r="B683" s="2">
        <v>21</v>
      </c>
      <c r="C683" s="2">
        <v>9</v>
      </c>
      <c r="D683" s="11" t="str">
        <f t="shared" si="20"/>
        <v>UN</v>
      </c>
      <c r="E683" s="12">
        <v>16.706250000000004</v>
      </c>
      <c r="F683" s="13">
        <v>0</v>
      </c>
      <c r="G683" s="14" t="s">
        <v>198</v>
      </c>
    </row>
    <row r="684" spans="1:7" x14ac:dyDescent="0.25">
      <c r="A684" s="34" t="str">
        <f>"Nº73 CHAPA MORRO SA CN3890"</f>
        <v>Nº73 CHAPA MORRO SA CN3890</v>
      </c>
      <c r="B684" s="2">
        <v>21</v>
      </c>
      <c r="C684" s="2">
        <v>19</v>
      </c>
      <c r="D684" s="11" t="str">
        <f t="shared" si="20"/>
        <v>UN</v>
      </c>
      <c r="E684" s="12">
        <v>55.907500000000013</v>
      </c>
      <c r="F684" s="13">
        <v>0</v>
      </c>
      <c r="G684" s="14" t="s">
        <v>198</v>
      </c>
    </row>
    <row r="685" spans="1:7" x14ac:dyDescent="0.25">
      <c r="A685" s="34" t="str">
        <f>"Nº74 CHAPA MORRO SA CN3890"</f>
        <v>Nº74 CHAPA MORRO SA CN3890</v>
      </c>
      <c r="B685" s="2">
        <v>21</v>
      </c>
      <c r="C685" s="2">
        <v>28</v>
      </c>
      <c r="D685" s="11" t="str">
        <f t="shared" si="20"/>
        <v>UN</v>
      </c>
      <c r="E685" s="12">
        <v>68.53</v>
      </c>
      <c r="F685" s="13">
        <v>0</v>
      </c>
      <c r="G685" s="14" t="s">
        <v>198</v>
      </c>
    </row>
    <row r="686" spans="1:7" x14ac:dyDescent="0.25">
      <c r="A686" s="34" t="str">
        <f>"Nº77 JUNTA SA CN2765"</f>
        <v>Nº77 JUNTA SA CN2765</v>
      </c>
      <c r="B686" s="2">
        <v>21</v>
      </c>
      <c r="C686" s="2">
        <v>24</v>
      </c>
      <c r="D686" s="11" t="str">
        <f t="shared" si="20"/>
        <v>UN</v>
      </c>
      <c r="E686" s="12">
        <v>44.550000000000026</v>
      </c>
      <c r="F686" s="13">
        <v>0</v>
      </c>
      <c r="G686" s="14" t="s">
        <v>198</v>
      </c>
    </row>
    <row r="687" spans="1:7" x14ac:dyDescent="0.25">
      <c r="A687" s="34" t="str">
        <f>"Nº78 MORRO MAX HN90"</f>
        <v>Nº78 MORRO MAX HN90</v>
      </c>
      <c r="B687" s="2">
        <v>21</v>
      </c>
      <c r="C687" s="2">
        <v>1</v>
      </c>
      <c r="D687" s="11" t="str">
        <f t="shared" si="20"/>
        <v>UN</v>
      </c>
      <c r="E687" s="12">
        <v>587.60625000000005</v>
      </c>
      <c r="F687" s="13">
        <v>0</v>
      </c>
      <c r="G687" s="14" t="s">
        <v>198</v>
      </c>
    </row>
    <row r="688" spans="1:7" x14ac:dyDescent="0.25">
      <c r="A688" s="34" t="str">
        <f>"Nº80 PUERTA CIERRE SA CN2765"</f>
        <v>Nº80 PUERTA CIERRE SA CN2765</v>
      </c>
      <c r="B688" s="2">
        <v>21</v>
      </c>
      <c r="C688" s="2">
        <v>2</v>
      </c>
      <c r="D688" s="11" t="str">
        <f t="shared" si="20"/>
        <v>UN</v>
      </c>
      <c r="E688" s="12">
        <v>70.785000000000011</v>
      </c>
      <c r="F688" s="13">
        <v>0</v>
      </c>
      <c r="G688" s="14" t="s">
        <v>198</v>
      </c>
    </row>
    <row r="689" spans="1:7" x14ac:dyDescent="0.25">
      <c r="A689" s="34" t="str">
        <f>"Nº81 UÑA CIERRE SA CN2765"</f>
        <v>Nº81 UÑA CIERRE SA CN2765</v>
      </c>
      <c r="B689" s="2">
        <v>21</v>
      </c>
      <c r="C689" s="2">
        <v>2</v>
      </c>
      <c r="D689" s="11" t="str">
        <f t="shared" si="20"/>
        <v>UN</v>
      </c>
      <c r="E689" s="12">
        <v>35.337500000000006</v>
      </c>
      <c r="F689" s="13">
        <v>0</v>
      </c>
      <c r="G689" s="14" t="s">
        <v>198</v>
      </c>
    </row>
    <row r="690" spans="1:7" x14ac:dyDescent="0.25">
      <c r="A690" s="34" t="str">
        <f>"Nº82 MUELLE CIERRE SA CN2765"</f>
        <v>Nº82 MUELLE CIERRE SA CN2765</v>
      </c>
      <c r="B690" s="2">
        <v>21</v>
      </c>
      <c r="C690" s="2">
        <v>3</v>
      </c>
      <c r="D690" s="11" t="str">
        <f t="shared" si="20"/>
        <v>UN</v>
      </c>
      <c r="E690" s="12">
        <v>5.5687500000000032</v>
      </c>
      <c r="F690" s="13">
        <v>0</v>
      </c>
      <c r="G690" s="14" t="s">
        <v>198</v>
      </c>
    </row>
    <row r="691" spans="1:7" x14ac:dyDescent="0.25">
      <c r="A691" s="34" t="str">
        <f>"Nº83 UÑA CIERRE SA CN2765"</f>
        <v>Nº83 UÑA CIERRE SA CN2765</v>
      </c>
      <c r="B691" s="2">
        <v>21</v>
      </c>
      <c r="C691" s="2">
        <v>2</v>
      </c>
      <c r="D691" s="11" t="str">
        <f t="shared" si="20"/>
        <v>UN</v>
      </c>
      <c r="E691" s="12">
        <v>9.4600000000000009</v>
      </c>
      <c r="F691" s="13">
        <v>0</v>
      </c>
      <c r="G691" s="14" t="s">
        <v>198</v>
      </c>
    </row>
    <row r="692" spans="1:7" x14ac:dyDescent="0.25">
      <c r="A692" s="34" t="str">
        <f>"Nº84 CIERRE TAMBOR SA CN3890"</f>
        <v>Nº84 CIERRE TAMBOR SA CN3890</v>
      </c>
      <c r="B692" s="2">
        <v>21</v>
      </c>
      <c r="C692" s="2">
        <v>2</v>
      </c>
      <c r="D692" s="11" t="str">
        <f t="shared" si="20"/>
        <v>UN</v>
      </c>
      <c r="E692" s="12">
        <v>3.7125000000000004</v>
      </c>
      <c r="F692" s="13">
        <v>0</v>
      </c>
      <c r="G692" s="14" t="s">
        <v>198</v>
      </c>
    </row>
    <row r="693" spans="1:7" x14ac:dyDescent="0.25">
      <c r="A693" s="34" t="str">
        <f>"Nº85  MUELLE SA CN2765"</f>
        <v>Nº85  MUELLE SA CN2765</v>
      </c>
      <c r="B693" s="2">
        <v>21</v>
      </c>
      <c r="C693" s="2">
        <v>4</v>
      </c>
      <c r="D693" s="11" t="str">
        <f t="shared" si="20"/>
        <v>UN</v>
      </c>
      <c r="E693" s="12">
        <v>7.4250000000000016</v>
      </c>
      <c r="F693" s="13">
        <v>0</v>
      </c>
      <c r="G693" s="14" t="s">
        <v>198</v>
      </c>
    </row>
    <row r="694" spans="1:7" x14ac:dyDescent="0.25">
      <c r="A694" s="34" t="str">
        <f>"Nº88 CUBIERTA PUERTA SA CN2765"</f>
        <v>Nº88 CUBIERTA PUERTA SA CN2765</v>
      </c>
      <c r="B694" s="2">
        <v>21</v>
      </c>
      <c r="C694" s="2">
        <v>2</v>
      </c>
      <c r="D694" s="11" t="str">
        <f t="shared" si="20"/>
        <v>UN</v>
      </c>
      <c r="E694" s="12">
        <v>8.5525000000000002</v>
      </c>
      <c r="F694" s="13">
        <v>0</v>
      </c>
      <c r="G694" s="14" t="s">
        <v>198</v>
      </c>
    </row>
    <row r="695" spans="1:7" x14ac:dyDescent="0.25">
      <c r="A695" s="34" t="str">
        <f>"Nº89 TORNILLO SA CN2765"</f>
        <v>Nº89 TORNILLO SA CN2765</v>
      </c>
      <c r="B695" s="2">
        <v>21</v>
      </c>
      <c r="C695" s="2">
        <v>10</v>
      </c>
      <c r="D695" s="11" t="str">
        <f t="shared" si="20"/>
        <v>UN</v>
      </c>
      <c r="E695" s="12">
        <v>18.562500000000004</v>
      </c>
      <c r="F695" s="13">
        <v>0</v>
      </c>
      <c r="G695" s="14" t="s">
        <v>198</v>
      </c>
    </row>
    <row r="696" spans="1:7" x14ac:dyDescent="0.25">
      <c r="A696" s="34" t="str">
        <f>"Nº90 PASADOR MORRO SA CN2765"</f>
        <v>Nº90 PASADOR MORRO SA CN2765</v>
      </c>
      <c r="B696" s="2">
        <v>21</v>
      </c>
      <c r="C696" s="2">
        <v>6</v>
      </c>
      <c r="D696" s="11" t="str">
        <f t="shared" si="20"/>
        <v>UN</v>
      </c>
      <c r="E696" s="12">
        <v>16.170000000000002</v>
      </c>
      <c r="F696" s="13">
        <v>0</v>
      </c>
      <c r="G696" s="14" t="s">
        <v>198</v>
      </c>
    </row>
    <row r="697" spans="1:7" x14ac:dyDescent="0.25">
      <c r="A697" s="34" t="str">
        <f>"Nº94 SEGURO MAX HN90"</f>
        <v>Nº94 SEGURO MAX HN90</v>
      </c>
      <c r="B697" s="2">
        <v>21</v>
      </c>
      <c r="C697" s="2">
        <v>1</v>
      </c>
      <c r="D697" s="11" t="str">
        <f t="shared" si="20"/>
        <v>UN</v>
      </c>
      <c r="E697" s="12">
        <v>62.947500000000012</v>
      </c>
      <c r="F697" s="13">
        <v>0</v>
      </c>
      <c r="G697" s="14" t="s">
        <v>198</v>
      </c>
    </row>
    <row r="698" spans="1:7" x14ac:dyDescent="0.25">
      <c r="A698" s="34" t="str">
        <f>"Nº96 RING CN2765"</f>
        <v>Nº96 RING CN2765</v>
      </c>
      <c r="B698" s="2">
        <v>21</v>
      </c>
      <c r="C698" s="2">
        <v>9</v>
      </c>
      <c r="D698" s="11" t="str">
        <f t="shared" si="20"/>
        <v>UN</v>
      </c>
      <c r="E698" s="12">
        <v>16.706250000000001</v>
      </c>
      <c r="F698" s="13">
        <v>0</v>
      </c>
      <c r="G698" s="14" t="s">
        <v>198</v>
      </c>
    </row>
    <row r="699" spans="1:7" x14ac:dyDescent="0.25">
      <c r="A699" s="34" t="str">
        <f>"Nº97 CUBRE SEGURO SA CN3890"</f>
        <v>Nº97 CUBRE SEGURO SA CN3890</v>
      </c>
      <c r="B699" s="2">
        <v>21</v>
      </c>
      <c r="C699" s="2">
        <v>4</v>
      </c>
      <c r="D699" s="11" t="str">
        <f t="shared" si="20"/>
        <v>UN</v>
      </c>
      <c r="E699" s="12">
        <v>12.925000000000002</v>
      </c>
      <c r="F699" s="13">
        <v>0</v>
      </c>
      <c r="G699" s="14" t="s">
        <v>198</v>
      </c>
    </row>
    <row r="700" spans="1:7" x14ac:dyDescent="0.25">
      <c r="A700" s="34" t="str">
        <f>"Nº97 NAIL HOLDER COVER CN2765"</f>
        <v>Nº97 NAIL HOLDER COVER CN2765</v>
      </c>
      <c r="B700" s="2">
        <v>21</v>
      </c>
      <c r="C700" s="2">
        <v>2</v>
      </c>
      <c r="D700" s="11" t="str">
        <f t="shared" si="20"/>
        <v>UN</v>
      </c>
      <c r="E700" s="12">
        <v>4.4275000000000002</v>
      </c>
      <c r="F700" s="13">
        <v>0</v>
      </c>
      <c r="G700" s="14" t="s">
        <v>198</v>
      </c>
    </row>
    <row r="701" spans="1:7" x14ac:dyDescent="0.25">
      <c r="A701" s="34" t="str">
        <f>"NOZZLE STEM SET BUHNEN TANQUE_HB5010"</f>
        <v>NOZZLE STEM SET BUHNEN TANQUE_HB5010</v>
      </c>
      <c r="B701" s="2">
        <v>21</v>
      </c>
      <c r="C701" s="2">
        <v>1</v>
      </c>
      <c r="D701" s="11" t="str">
        <f t="shared" si="20"/>
        <v>UN</v>
      </c>
      <c r="E701" s="12">
        <v>168.96</v>
      </c>
      <c r="F701" s="13">
        <v>0</v>
      </c>
      <c r="G701" s="14" t="s">
        <v>198</v>
      </c>
    </row>
    <row r="702" spans="1:7" x14ac:dyDescent="0.25">
      <c r="A702" s="34" t="str">
        <f>"NUM. 02 TAPA DEFLECTOR SA 14/50"</f>
        <v>NUM. 02 TAPA DEFLECTOR SA 14/50</v>
      </c>
      <c r="B702" s="2">
        <v>21</v>
      </c>
      <c r="C702" s="2">
        <v>3</v>
      </c>
      <c r="D702" s="11" t="str">
        <f t="shared" si="20"/>
        <v>UN</v>
      </c>
      <c r="E702" s="12">
        <v>19.2225</v>
      </c>
      <c r="F702" s="13">
        <v>0</v>
      </c>
      <c r="G702" s="14" t="s">
        <v>198</v>
      </c>
    </row>
    <row r="703" spans="1:7" x14ac:dyDescent="0.25">
      <c r="A703" s="34" t="str">
        <f>"NUM. 07 JUNTA"</f>
        <v>NUM. 07 JUNTA</v>
      </c>
      <c r="B703" s="2">
        <v>21</v>
      </c>
      <c r="C703" s="2">
        <v>7</v>
      </c>
      <c r="D703" s="11" t="str">
        <f t="shared" si="20"/>
        <v>UN</v>
      </c>
      <c r="E703" s="12">
        <v>12.99375</v>
      </c>
      <c r="F703" s="13">
        <v>0</v>
      </c>
      <c r="G703" s="14" t="s">
        <v>198</v>
      </c>
    </row>
    <row r="704" spans="1:7" x14ac:dyDescent="0.25">
      <c r="A704" s="34" t="str">
        <f>"NUM. 08 PIEZA SA 14/50"</f>
        <v>NUM. 08 PIEZA SA 14/50</v>
      </c>
      <c r="B704" s="2">
        <v>21</v>
      </c>
      <c r="C704" s="2">
        <v>2</v>
      </c>
      <c r="D704" s="11" t="str">
        <f t="shared" si="20"/>
        <v>UN</v>
      </c>
      <c r="E704" s="12">
        <v>4.4275000000000002</v>
      </c>
      <c r="F704" s="13">
        <v>0</v>
      </c>
      <c r="G704" s="14" t="s">
        <v>198</v>
      </c>
    </row>
    <row r="705" spans="1:7" x14ac:dyDescent="0.25">
      <c r="A705" s="34" t="str">
        <f>"NUM. 09 JUNTA CABEZA SA 14/50"</f>
        <v>NUM. 09 JUNTA CABEZA SA 14/50</v>
      </c>
      <c r="B705" s="2">
        <v>21</v>
      </c>
      <c r="C705" s="2">
        <v>2</v>
      </c>
      <c r="D705" s="11" t="str">
        <f t="shared" si="20"/>
        <v>UN</v>
      </c>
      <c r="E705" s="12">
        <v>13.695000000000002</v>
      </c>
      <c r="F705" s="13">
        <v>0</v>
      </c>
      <c r="G705" s="14" t="s">
        <v>198</v>
      </c>
    </row>
    <row r="706" spans="1:7" x14ac:dyDescent="0.25">
      <c r="A706" s="34" t="str">
        <f>"NUM. 14 JUNTA"</f>
        <v>NUM. 14 JUNTA</v>
      </c>
      <c r="B706" s="2">
        <v>21</v>
      </c>
      <c r="C706" s="2">
        <v>12</v>
      </c>
      <c r="D706" s="11" t="str">
        <f t="shared" si="20"/>
        <v>UN</v>
      </c>
      <c r="E706" s="12">
        <v>25.080000000000009</v>
      </c>
      <c r="F706" s="13">
        <v>0</v>
      </c>
      <c r="G706" s="14" t="s">
        <v>198</v>
      </c>
    </row>
    <row r="707" spans="1:7" x14ac:dyDescent="0.25">
      <c r="A707" s="34" t="str">
        <f>"NUM. 23 JUNTA SA 14/50"</f>
        <v>NUM. 23 JUNTA SA 14/50</v>
      </c>
      <c r="B707" s="2">
        <v>21</v>
      </c>
      <c r="C707" s="2">
        <v>41</v>
      </c>
      <c r="D707" s="11" t="str">
        <f t="shared" si="20"/>
        <v>UN</v>
      </c>
      <c r="E707" s="12">
        <v>76.106250000000003</v>
      </c>
      <c r="F707" s="13">
        <v>0</v>
      </c>
      <c r="G707" s="14" t="s">
        <v>198</v>
      </c>
    </row>
    <row r="708" spans="1:7" x14ac:dyDescent="0.25">
      <c r="A708" s="34" t="str">
        <f>"NUM. 28 JUNTA"</f>
        <v>NUM. 28 JUNTA</v>
      </c>
      <c r="B708" s="2">
        <v>21</v>
      </c>
      <c r="C708" s="2">
        <v>29</v>
      </c>
      <c r="D708" s="11" t="str">
        <f t="shared" si="20"/>
        <v>UN</v>
      </c>
      <c r="E708" s="12">
        <v>53.831250000000026</v>
      </c>
      <c r="F708" s="13">
        <v>0</v>
      </c>
      <c r="G708" s="14" t="s">
        <v>198</v>
      </c>
    </row>
    <row r="709" spans="1:7" x14ac:dyDescent="0.25">
      <c r="A709" s="34" t="str">
        <f>"NUM. 30 MUELLE SA 14/50"</f>
        <v>NUM. 30 MUELLE SA 14/50</v>
      </c>
      <c r="B709" s="2">
        <v>21</v>
      </c>
      <c r="C709" s="2">
        <v>17</v>
      </c>
      <c r="D709" s="11" t="str">
        <f t="shared" si="20"/>
        <v>UN</v>
      </c>
      <c r="E709" s="12">
        <v>31.556250000000002</v>
      </c>
      <c r="F709" s="13">
        <v>0</v>
      </c>
      <c r="G709" s="14" t="s">
        <v>198</v>
      </c>
    </row>
    <row r="710" spans="1:7" x14ac:dyDescent="0.25">
      <c r="A710" s="34" t="str">
        <f>"NUM. 41 AJUSTADOR"</f>
        <v>NUM. 41 AJUSTADOR</v>
      </c>
      <c r="B710" s="2">
        <v>21</v>
      </c>
      <c r="C710" s="2">
        <v>2</v>
      </c>
      <c r="D710" s="11" t="str">
        <f t="shared" si="20"/>
        <v>UN</v>
      </c>
      <c r="E710" s="12">
        <v>34.017499999999998</v>
      </c>
      <c r="F710" s="13">
        <v>0</v>
      </c>
      <c r="G710" s="14" t="s">
        <v>198</v>
      </c>
    </row>
    <row r="711" spans="1:7" x14ac:dyDescent="0.25">
      <c r="A711" s="34" t="str">
        <f>"NUM. 44 PACKING"</f>
        <v>NUM. 44 PACKING</v>
      </c>
      <c r="B711" s="2">
        <v>21</v>
      </c>
      <c r="C711" s="2">
        <v>2</v>
      </c>
      <c r="D711" s="11" t="str">
        <f t="shared" si="20"/>
        <v>UN</v>
      </c>
      <c r="E711" s="12">
        <v>3.7125000000000004</v>
      </c>
      <c r="F711" s="13">
        <v>0</v>
      </c>
      <c r="G711" s="14" t="s">
        <v>198</v>
      </c>
    </row>
    <row r="712" spans="1:7" x14ac:dyDescent="0.25">
      <c r="A712" s="34" t="str">
        <f>"NUM. 45 END CAP SA 14/50"</f>
        <v>NUM. 45 END CAP SA 14/50</v>
      </c>
      <c r="B712" s="2">
        <v>21</v>
      </c>
      <c r="C712" s="2">
        <v>2</v>
      </c>
      <c r="D712" s="11" t="str">
        <f t="shared" si="20"/>
        <v>UN</v>
      </c>
      <c r="E712" s="12">
        <v>15.207500000000003</v>
      </c>
      <c r="F712" s="13">
        <v>0</v>
      </c>
      <c r="G712" s="14" t="s">
        <v>198</v>
      </c>
    </row>
    <row r="713" spans="1:7" x14ac:dyDescent="0.25">
      <c r="A713" s="34" t="str">
        <f>"NUM. 46-01 TORNILLO SA 14/50- SA CN3890"</f>
        <v>NUM. 46-01 TORNILLO SA 14/50- SA CN3890</v>
      </c>
      <c r="B713" s="2">
        <v>21</v>
      </c>
      <c r="C713" s="2">
        <v>7</v>
      </c>
      <c r="D713" s="11" t="str">
        <f t="shared" si="20"/>
        <v>UN</v>
      </c>
      <c r="E713" s="12">
        <v>12.99375</v>
      </c>
      <c r="F713" s="13">
        <v>0</v>
      </c>
      <c r="G713" s="14" t="s">
        <v>198</v>
      </c>
    </row>
    <row r="714" spans="1:7" x14ac:dyDescent="0.25">
      <c r="A714" s="34" t="str">
        <f>"NUM. 59 TORNILLO SA 14/50"</f>
        <v>NUM. 59 TORNILLO SA 14/50</v>
      </c>
      <c r="B714" s="2">
        <v>21</v>
      </c>
      <c r="C714" s="2">
        <v>22</v>
      </c>
      <c r="D714" s="11" t="str">
        <f t="shared" ref="D714:D777" si="21">"UN"</f>
        <v>UN</v>
      </c>
      <c r="E714" s="12">
        <v>40.837500000000006</v>
      </c>
      <c r="F714" s="13">
        <v>0</v>
      </c>
      <c r="G714" s="14" t="s">
        <v>198</v>
      </c>
    </row>
    <row r="715" spans="1:7" x14ac:dyDescent="0.25">
      <c r="A715" s="34" t="str">
        <f>"NUM. 67 JUNTA SA 14/50"</f>
        <v>NUM. 67 JUNTA SA 14/50</v>
      </c>
      <c r="B715" s="2">
        <v>21</v>
      </c>
      <c r="C715" s="2">
        <v>25</v>
      </c>
      <c r="D715" s="11" t="str">
        <f t="shared" si="21"/>
        <v>UN</v>
      </c>
      <c r="E715" s="12">
        <v>46.40625</v>
      </c>
      <c r="F715" s="13">
        <v>0</v>
      </c>
      <c r="G715" s="14" t="s">
        <v>198</v>
      </c>
    </row>
    <row r="716" spans="1:7" x14ac:dyDescent="0.25">
      <c r="A716" s="34" t="str">
        <f>"NUM. 76 MUELLE SEGURO SA MS14/50"</f>
        <v>NUM. 76 MUELLE SEGURO SA MS14/50</v>
      </c>
      <c r="B716" s="2">
        <v>21</v>
      </c>
      <c r="C716" s="2">
        <v>17</v>
      </c>
      <c r="D716" s="11" t="str">
        <f t="shared" si="21"/>
        <v>UN</v>
      </c>
      <c r="E716" s="12">
        <v>31.556250000000002</v>
      </c>
      <c r="F716" s="13">
        <v>0</v>
      </c>
      <c r="G716" s="14" t="s">
        <v>198</v>
      </c>
    </row>
    <row r="717" spans="1:7" x14ac:dyDescent="0.25">
      <c r="A717" s="34" t="str">
        <f>"NUM.50-78 ARANDELA SA 14/50-SA CN2765"</f>
        <v>NUM.50-78 ARANDELA SA 14/50-SA CN2765</v>
      </c>
      <c r="B717" s="2">
        <v>21</v>
      </c>
      <c r="C717" s="2">
        <v>11</v>
      </c>
      <c r="D717" s="11" t="str">
        <f t="shared" si="21"/>
        <v>UN</v>
      </c>
      <c r="E717" s="12">
        <v>20.418750000000003</v>
      </c>
      <c r="F717" s="13">
        <v>0</v>
      </c>
      <c r="G717" s="14" t="s">
        <v>198</v>
      </c>
    </row>
    <row r="718" spans="1:7" x14ac:dyDescent="0.25">
      <c r="A718" s="34" t="str">
        <f>"NUM.51-79 TORNILLO SA 14/50-SA CN2765"</f>
        <v>NUM.51-79 TORNILLO SA 14/50-SA CN2765</v>
      </c>
      <c r="B718" s="2">
        <v>21</v>
      </c>
      <c r="C718" s="2">
        <v>9</v>
      </c>
      <c r="D718" s="11" t="str">
        <f t="shared" si="21"/>
        <v>UN</v>
      </c>
      <c r="E718" s="12">
        <v>16.706250000000001</v>
      </c>
      <c r="F718" s="13">
        <v>0</v>
      </c>
      <c r="G718" s="14" t="s">
        <v>198</v>
      </c>
    </row>
    <row r="719" spans="1:7" x14ac:dyDescent="0.25">
      <c r="A719" s="34" t="str">
        <f>"NUM.74 LOCK NUT"</f>
        <v>NUM.74 LOCK NUT</v>
      </c>
      <c r="B719" s="2">
        <v>21</v>
      </c>
      <c r="C719" s="2">
        <v>8</v>
      </c>
      <c r="D719" s="11" t="str">
        <f t="shared" si="21"/>
        <v>UN</v>
      </c>
      <c r="E719" s="12">
        <v>14.850000000000001</v>
      </c>
      <c r="F719" s="13">
        <v>0</v>
      </c>
      <c r="G719" s="14" t="s">
        <v>198</v>
      </c>
    </row>
    <row r="720" spans="1:7" x14ac:dyDescent="0.25">
      <c r="A720" s="34" t="str">
        <f>"O- RING Nº18 BÜHNEN HB 700"</f>
        <v>O- RING Nº18 BÜHNEN HB 700</v>
      </c>
      <c r="B720" s="2">
        <v>21</v>
      </c>
      <c r="C720" s="2">
        <v>9</v>
      </c>
      <c r="D720" s="11" t="str">
        <f t="shared" si="21"/>
        <v>UN</v>
      </c>
      <c r="E720" s="12">
        <v>23.14125000000001</v>
      </c>
      <c r="F720" s="13">
        <v>0</v>
      </c>
      <c r="G720" s="14" t="s">
        <v>198</v>
      </c>
    </row>
    <row r="721" spans="1:7" x14ac:dyDescent="0.25">
      <c r="A721" s="34" t="str">
        <f>"O-RING Nº07 BÜHNEN HB 700"</f>
        <v>O-RING Nº07 BÜHNEN HB 700</v>
      </c>
      <c r="B721" s="2">
        <v>21</v>
      </c>
      <c r="C721" s="2">
        <v>5</v>
      </c>
      <c r="D721" s="11" t="str">
        <f t="shared" si="21"/>
        <v>UN</v>
      </c>
      <c r="E721" s="12">
        <v>23.650000000000002</v>
      </c>
      <c r="F721" s="13">
        <v>0</v>
      </c>
      <c r="G721" s="14" t="s">
        <v>198</v>
      </c>
    </row>
    <row r="722" spans="1:7" x14ac:dyDescent="0.25">
      <c r="A722" s="34" t="str">
        <f>"P0001 TAPA SHF50"</f>
        <v>P0001 TAPA SHF50</v>
      </c>
      <c r="B722" s="2">
        <v>21</v>
      </c>
      <c r="C722" s="2">
        <v>3</v>
      </c>
      <c r="D722" s="11" t="str">
        <f t="shared" si="21"/>
        <v>UN</v>
      </c>
      <c r="E722" s="12">
        <v>323.19374999999997</v>
      </c>
      <c r="F722" s="13">
        <v>0</v>
      </c>
      <c r="G722" s="14" t="s">
        <v>198</v>
      </c>
    </row>
    <row r="723" spans="1:7" x14ac:dyDescent="0.25">
      <c r="A723" s="34" t="str">
        <f>"P0004 SHF50"</f>
        <v>P0004 SHF50</v>
      </c>
      <c r="B723" s="2">
        <v>21</v>
      </c>
      <c r="C723" s="2">
        <v>7</v>
      </c>
      <c r="D723" s="11" t="str">
        <f t="shared" si="21"/>
        <v>UN</v>
      </c>
      <c r="E723" s="12">
        <v>224.84</v>
      </c>
      <c r="F723" s="13">
        <v>0</v>
      </c>
      <c r="G723" s="14" t="s">
        <v>198</v>
      </c>
    </row>
    <row r="724" spans="1:7" x14ac:dyDescent="0.25">
      <c r="A724" s="34" t="str">
        <f>"P0009 SHF50"</f>
        <v>P0009 SHF50</v>
      </c>
      <c r="B724" s="2">
        <v>21</v>
      </c>
      <c r="C724" s="2">
        <v>3</v>
      </c>
      <c r="D724" s="11" t="str">
        <f t="shared" si="21"/>
        <v>UN</v>
      </c>
      <c r="E724" s="12">
        <v>73.095000000000013</v>
      </c>
      <c r="F724" s="13">
        <v>0</v>
      </c>
      <c r="G724" s="14" t="s">
        <v>198</v>
      </c>
    </row>
    <row r="725" spans="1:7" x14ac:dyDescent="0.25">
      <c r="A725" s="34" t="str">
        <f>"P0010 SHF50"</f>
        <v>P0010 SHF50</v>
      </c>
      <c r="B725" s="2">
        <v>21</v>
      </c>
      <c r="C725" s="2">
        <v>5</v>
      </c>
      <c r="D725" s="11" t="str">
        <f t="shared" si="21"/>
        <v>UN</v>
      </c>
      <c r="E725" s="12">
        <v>153.65625</v>
      </c>
      <c r="F725" s="13">
        <v>0</v>
      </c>
      <c r="G725" s="14" t="s">
        <v>198</v>
      </c>
    </row>
    <row r="726" spans="1:7" x14ac:dyDescent="0.25">
      <c r="A726" s="34" t="str">
        <f>"P0012000100 CAB.VAL.SA80/16  P0012000105"</f>
        <v>P0012000100 CAB.VAL.SA80/16  P0012000105</v>
      </c>
      <c r="B726" s="2">
        <v>21</v>
      </c>
      <c r="C726" s="2">
        <v>43</v>
      </c>
      <c r="D726" s="11" t="str">
        <f t="shared" si="21"/>
        <v>UN</v>
      </c>
      <c r="E726" s="12">
        <v>89.87</v>
      </c>
      <c r="F726" s="13">
        <v>0</v>
      </c>
      <c r="G726" s="14" t="s">
        <v>198</v>
      </c>
    </row>
    <row r="727" spans="1:7" x14ac:dyDescent="0.25">
      <c r="A727" s="34" t="str">
        <f>"P0015200462=G1100400 TAPON VALVULA DISP."</f>
        <v>P0015200462=G1100400 TAPON VALVULA DISP.</v>
      </c>
      <c r="B727" s="2">
        <v>21</v>
      </c>
      <c r="C727" s="2">
        <v>16</v>
      </c>
      <c r="D727" s="11" t="str">
        <f t="shared" si="21"/>
        <v>UN</v>
      </c>
      <c r="E727" s="12">
        <v>72.16</v>
      </c>
      <c r="F727" s="13">
        <v>0</v>
      </c>
      <c r="G727" s="14" t="s">
        <v>198</v>
      </c>
    </row>
    <row r="728" spans="1:7" x14ac:dyDescent="0.25">
      <c r="A728" s="34" t="str">
        <f>"P0015200562 VASTAGO VALVULA"</f>
        <v>P0015200562 VASTAGO VALVULA</v>
      </c>
      <c r="B728" s="2">
        <v>21</v>
      </c>
      <c r="C728" s="2">
        <v>41</v>
      </c>
      <c r="D728" s="11" t="str">
        <f t="shared" si="21"/>
        <v>UN</v>
      </c>
      <c r="E728" s="12">
        <v>84.562500000000014</v>
      </c>
      <c r="F728" s="13">
        <v>0</v>
      </c>
      <c r="G728" s="14" t="s">
        <v>198</v>
      </c>
    </row>
    <row r="729" spans="1:7" x14ac:dyDescent="0.25">
      <c r="A729" s="34" t="str">
        <f>"P0015202362 MUELLE"</f>
        <v>P0015202362 MUELLE</v>
      </c>
      <c r="B729" s="2">
        <v>21</v>
      </c>
      <c r="C729" s="2">
        <v>47</v>
      </c>
      <c r="D729" s="11" t="str">
        <f t="shared" si="21"/>
        <v>UN</v>
      </c>
      <c r="E729" s="12">
        <v>87.243750000000006</v>
      </c>
      <c r="F729" s="13">
        <v>0</v>
      </c>
      <c r="G729" s="14" t="s">
        <v>198</v>
      </c>
    </row>
    <row r="730" spans="1:7" x14ac:dyDescent="0.25">
      <c r="A730" s="34" t="str">
        <f>"P0015202562 PASADOR GATILLO"</f>
        <v>P0015202562 PASADOR GATILLO</v>
      </c>
      <c r="B730" s="2">
        <v>21</v>
      </c>
      <c r="C730" s="2">
        <v>23</v>
      </c>
      <c r="D730" s="11" t="str">
        <f t="shared" si="21"/>
        <v>UN</v>
      </c>
      <c r="E730" s="12">
        <v>42.693750000000009</v>
      </c>
      <c r="F730" s="13">
        <v>0</v>
      </c>
      <c r="G730" s="14" t="s">
        <v>198</v>
      </c>
    </row>
    <row r="731" spans="1:7" x14ac:dyDescent="0.25">
      <c r="A731" s="34" t="str">
        <f>"P0019 SHF50"</f>
        <v>P0019 SHF50</v>
      </c>
      <c r="B731" s="2">
        <v>21</v>
      </c>
      <c r="C731" s="2">
        <v>5</v>
      </c>
      <c r="D731" s="11" t="str">
        <f t="shared" si="21"/>
        <v>UN</v>
      </c>
      <c r="E731" s="12">
        <v>895.67499999999995</v>
      </c>
      <c r="F731" s="13">
        <v>0</v>
      </c>
      <c r="G731" s="14" t="s">
        <v>198</v>
      </c>
    </row>
    <row r="732" spans="1:7" x14ac:dyDescent="0.25">
      <c r="A732" s="34" t="str">
        <f>"P0046 SHF50"</f>
        <v>P0046 SHF50</v>
      </c>
      <c r="B732" s="2">
        <v>21</v>
      </c>
      <c r="C732" s="2">
        <v>5</v>
      </c>
      <c r="D732" s="11" t="str">
        <f t="shared" si="21"/>
        <v>UN</v>
      </c>
      <c r="E732" s="12">
        <v>407.06874999999997</v>
      </c>
      <c r="F732" s="13">
        <v>0</v>
      </c>
      <c r="G732" s="14" t="s">
        <v>198</v>
      </c>
    </row>
    <row r="733" spans="1:7" x14ac:dyDescent="0.25">
      <c r="A733" s="34" t="str">
        <f>"P0125 SHF50"</f>
        <v>P0125 SHF50</v>
      </c>
      <c r="B733" s="2">
        <v>21</v>
      </c>
      <c r="C733" s="2">
        <v>2</v>
      </c>
      <c r="D733" s="11" t="str">
        <f t="shared" si="21"/>
        <v>UN</v>
      </c>
      <c r="E733" s="12">
        <v>107.2775</v>
      </c>
      <c r="F733" s="13">
        <v>0</v>
      </c>
      <c r="G733" s="14" t="s">
        <v>198</v>
      </c>
    </row>
    <row r="734" spans="1:7" x14ac:dyDescent="0.25">
      <c r="A734" s="34" t="str">
        <f>"P0142002400 TETON MUELLE"</f>
        <v>P0142002400 TETON MUELLE</v>
      </c>
      <c r="B734" s="2">
        <v>21</v>
      </c>
      <c r="C734" s="2">
        <v>27</v>
      </c>
      <c r="D734" s="11" t="str">
        <f t="shared" si="21"/>
        <v>UN</v>
      </c>
      <c r="E734" s="12">
        <v>60.142499999999998</v>
      </c>
      <c r="F734" s="13">
        <v>0</v>
      </c>
      <c r="G734" s="14" t="s">
        <v>198</v>
      </c>
    </row>
    <row r="735" spans="1:7" x14ac:dyDescent="0.25">
      <c r="A735" s="34" t="str">
        <f>"P0202 PASADOR SHF50"</f>
        <v>P0202 PASADOR SHF50</v>
      </c>
      <c r="B735" s="2">
        <v>21</v>
      </c>
      <c r="C735" s="2">
        <v>2</v>
      </c>
      <c r="D735" s="11" t="str">
        <f t="shared" si="21"/>
        <v>UN</v>
      </c>
      <c r="E735" s="12">
        <v>24.475000000000001</v>
      </c>
      <c r="F735" s="13">
        <v>0</v>
      </c>
      <c r="G735" s="14" t="s">
        <v>198</v>
      </c>
    </row>
    <row r="736" spans="1:7" x14ac:dyDescent="0.25">
      <c r="A736" s="34" t="str">
        <f>"P0215101201 BASE CIERRE PISTA"</f>
        <v>P0215101201 BASE CIERRE PISTA</v>
      </c>
      <c r="B736" s="2">
        <v>21</v>
      </c>
      <c r="C736" s="2">
        <v>3</v>
      </c>
      <c r="D736" s="11" t="str">
        <f t="shared" si="21"/>
        <v>UN</v>
      </c>
      <c r="E736" s="12">
        <v>12.828750000000005</v>
      </c>
      <c r="F736" s="13">
        <v>0</v>
      </c>
      <c r="G736" s="14" t="s">
        <v>198</v>
      </c>
    </row>
    <row r="737" spans="1:7" x14ac:dyDescent="0.25">
      <c r="A737" s="34" t="str">
        <f>"P0215101601 UÑA CIERRE = P0216301665"</f>
        <v>P0215101601 UÑA CIERRE = P0216301665</v>
      </c>
      <c r="B737" s="2">
        <v>21</v>
      </c>
      <c r="C737" s="2">
        <v>24</v>
      </c>
      <c r="D737" s="11" t="str">
        <f t="shared" si="21"/>
        <v>UN</v>
      </c>
      <c r="E737" s="12">
        <v>99.660000000000011</v>
      </c>
      <c r="F737" s="13">
        <v>0</v>
      </c>
      <c r="G737" s="14" t="s">
        <v>198</v>
      </c>
    </row>
    <row r="738" spans="1:7" x14ac:dyDescent="0.25">
      <c r="A738" s="34" t="str">
        <f>"P0215201362 PASADOR"</f>
        <v>P0215201362 PASADOR</v>
      </c>
      <c r="B738" s="2">
        <v>21</v>
      </c>
      <c r="C738" s="2">
        <v>11</v>
      </c>
      <c r="D738" s="11" t="str">
        <f t="shared" si="21"/>
        <v>UN</v>
      </c>
      <c r="E738" s="12">
        <v>20.418750000000006</v>
      </c>
      <c r="F738" s="13">
        <v>0</v>
      </c>
      <c r="G738" s="14" t="s">
        <v>198</v>
      </c>
    </row>
    <row r="739" spans="1:7" x14ac:dyDescent="0.25">
      <c r="A739" s="34" t="str">
        <f>"P0362001100 CAMISA"</f>
        <v>P0362001100 CAMISA</v>
      </c>
      <c r="B739" s="2">
        <v>21</v>
      </c>
      <c r="C739" s="2">
        <v>19</v>
      </c>
      <c r="D739" s="11" t="str">
        <f t="shared" si="21"/>
        <v>UN</v>
      </c>
      <c r="E739" s="12">
        <v>224.15250000000003</v>
      </c>
      <c r="F739" s="13">
        <v>0</v>
      </c>
      <c r="G739" s="14" t="s">
        <v>198</v>
      </c>
    </row>
    <row r="740" spans="1:7" x14ac:dyDescent="0.25">
      <c r="A740" s="34" t="str">
        <f>"P0365102101 ESCUADRA PISTA"</f>
        <v>P0365102101 ESCUADRA PISTA</v>
      </c>
      <c r="B740" s="2">
        <v>21</v>
      </c>
      <c r="C740" s="2">
        <v>2</v>
      </c>
      <c r="D740" s="11" t="str">
        <f t="shared" si="21"/>
        <v>UN</v>
      </c>
      <c r="E740" s="12">
        <v>6.7100000000000009</v>
      </c>
      <c r="F740" s="13">
        <v>0</v>
      </c>
      <c r="G740" s="14" t="s">
        <v>198</v>
      </c>
    </row>
    <row r="741" spans="1:7" x14ac:dyDescent="0.25">
      <c r="A741" s="34" t="str">
        <f>"P0365102201 ESCUADRA SUJECC.PISTA"</f>
        <v>P0365102201 ESCUADRA SUJECC.PISTA</v>
      </c>
      <c r="B741" s="2">
        <v>21</v>
      </c>
      <c r="C741" s="2">
        <v>10</v>
      </c>
      <c r="D741" s="11" t="str">
        <f t="shared" si="21"/>
        <v>UN</v>
      </c>
      <c r="E741" s="12">
        <v>33.550000000000004</v>
      </c>
      <c r="F741" s="13">
        <v>0</v>
      </c>
      <c r="G741" s="14" t="s">
        <v>198</v>
      </c>
    </row>
    <row r="742" spans="1:7" x14ac:dyDescent="0.25">
      <c r="A742" s="34" t="str">
        <f>"P0440001063 BASE PISTA SA 1,83x35"</f>
        <v>P0440001063 BASE PISTA SA 1,83x35</v>
      </c>
      <c r="B742" s="2">
        <v>21</v>
      </c>
      <c r="C742" s="2">
        <v>2</v>
      </c>
      <c r="D742" s="11" t="str">
        <f t="shared" si="21"/>
        <v>UN</v>
      </c>
      <c r="E742" s="12">
        <v>34.237499999999997</v>
      </c>
      <c r="F742" s="13">
        <v>0</v>
      </c>
      <c r="G742" s="14" t="s">
        <v>198</v>
      </c>
    </row>
    <row r="743" spans="1:7" x14ac:dyDescent="0.25">
      <c r="A743" s="34" t="str">
        <f>"P0445101600/P0445101701 SEGURO SA1,83/35"</f>
        <v>P0445101600/P0445101701 SEGURO SA1,83/35</v>
      </c>
      <c r="B743" s="2">
        <v>21</v>
      </c>
      <c r="C743" s="2">
        <v>9</v>
      </c>
      <c r="D743" s="11" t="str">
        <f t="shared" si="21"/>
        <v>UN</v>
      </c>
      <c r="E743" s="12">
        <v>86.253749999999997</v>
      </c>
      <c r="F743" s="13">
        <v>0</v>
      </c>
      <c r="G743" s="14" t="s">
        <v>198</v>
      </c>
    </row>
    <row r="744" spans="1:7" x14ac:dyDescent="0.25">
      <c r="A744" s="34" t="str">
        <f>"P0445101801 PIEZA SA CLAVOT"</f>
        <v>P0445101801 PIEZA SA CLAVOT</v>
      </c>
      <c r="B744" s="2">
        <v>21</v>
      </c>
      <c r="C744" s="2">
        <v>15</v>
      </c>
      <c r="D744" s="11" t="str">
        <f t="shared" si="21"/>
        <v>UN</v>
      </c>
      <c r="E744" s="12">
        <v>51.974999999999994</v>
      </c>
      <c r="F744" s="13">
        <v>0</v>
      </c>
      <c r="G744" s="14" t="s">
        <v>198</v>
      </c>
    </row>
    <row r="745" spans="1:7" x14ac:dyDescent="0.25">
      <c r="A745" s="34" t="str">
        <f>"P0445201262 EMPUJADOR"</f>
        <v>P0445201262 EMPUJADOR</v>
      </c>
      <c r="B745" s="2">
        <v>21</v>
      </c>
      <c r="C745" s="2">
        <v>5</v>
      </c>
      <c r="D745" s="11" t="str">
        <f t="shared" si="21"/>
        <v>UN</v>
      </c>
      <c r="E745" s="12">
        <v>16.156250000000004</v>
      </c>
      <c r="F745" s="13">
        <v>0</v>
      </c>
      <c r="G745" s="14" t="s">
        <v>198</v>
      </c>
    </row>
    <row r="746" spans="1:7" x14ac:dyDescent="0.25">
      <c r="A746" s="34" t="str">
        <f>"P0460000263 RAIL PISTA"</f>
        <v>P0460000263 RAIL PISTA</v>
      </c>
      <c r="B746" s="2">
        <v>21</v>
      </c>
      <c r="C746" s="2">
        <v>7</v>
      </c>
      <c r="D746" s="11" t="str">
        <f t="shared" si="21"/>
        <v>UN</v>
      </c>
      <c r="E746" s="12">
        <v>135.32750000000004</v>
      </c>
      <c r="F746" s="13">
        <v>0</v>
      </c>
      <c r="G746" s="14" t="s">
        <v>198</v>
      </c>
    </row>
    <row r="747" spans="1:7" x14ac:dyDescent="0.25">
      <c r="A747" s="34" t="str">
        <f>"P0520000200 MUELLE"</f>
        <v>P0520000200 MUELLE</v>
      </c>
      <c r="B747" s="2">
        <v>21</v>
      </c>
      <c r="C747" s="2">
        <v>8</v>
      </c>
      <c r="D747" s="11" t="str">
        <f t="shared" si="21"/>
        <v>UN</v>
      </c>
      <c r="E747" s="12">
        <v>14.850000000000003</v>
      </c>
      <c r="F747" s="13">
        <v>0</v>
      </c>
      <c r="G747" s="14" t="s">
        <v>198</v>
      </c>
    </row>
    <row r="748" spans="1:7" x14ac:dyDescent="0.25">
      <c r="A748" s="34" t="str">
        <f>"P0520001701 GATILLO"</f>
        <v>P0520001701 GATILLO</v>
      </c>
      <c r="B748" s="2">
        <v>21</v>
      </c>
      <c r="C748" s="2">
        <v>2</v>
      </c>
      <c r="D748" s="11" t="str">
        <f t="shared" si="21"/>
        <v>UN</v>
      </c>
      <c r="E748" s="12">
        <v>3.7125000000000004</v>
      </c>
      <c r="F748" s="13">
        <v>0</v>
      </c>
      <c r="G748" s="14" t="s">
        <v>198</v>
      </c>
    </row>
    <row r="749" spans="1:7" x14ac:dyDescent="0.25">
      <c r="A749" s="34" t="str">
        <f>"P0522000100 VAL.DISPARO"</f>
        <v>P0522000100 VAL.DISPARO</v>
      </c>
      <c r="B749" s="2">
        <v>21</v>
      </c>
      <c r="C749" s="2">
        <v>12</v>
      </c>
      <c r="D749" s="11" t="str">
        <f t="shared" si="21"/>
        <v>UN</v>
      </c>
      <c r="E749" s="12">
        <v>67.815000000000012</v>
      </c>
      <c r="F749" s="13">
        <v>0</v>
      </c>
      <c r="G749" s="14" t="s">
        <v>198</v>
      </c>
    </row>
    <row r="750" spans="1:7" x14ac:dyDescent="0.25">
      <c r="A750" s="34" t="str">
        <f>"P0522000400 TAPA DISPARO"</f>
        <v>P0522000400 TAPA DISPARO</v>
      </c>
      <c r="B750" s="2">
        <v>21</v>
      </c>
      <c r="C750" s="2">
        <v>5</v>
      </c>
      <c r="D750" s="11" t="str">
        <f t="shared" si="21"/>
        <v>UN</v>
      </c>
      <c r="E750" s="12">
        <v>36.918750000000003</v>
      </c>
      <c r="F750" s="13">
        <v>0</v>
      </c>
      <c r="G750" s="14" t="s">
        <v>198</v>
      </c>
    </row>
    <row r="751" spans="1:7" x14ac:dyDescent="0.25">
      <c r="A751" s="34" t="str">
        <f>"P0522001600 VASTAGO DISPARO"</f>
        <v>P0522001600 VASTAGO DISPARO</v>
      </c>
      <c r="B751" s="2">
        <v>21</v>
      </c>
      <c r="C751" s="2">
        <v>8</v>
      </c>
      <c r="D751" s="11" t="str">
        <f t="shared" si="21"/>
        <v>UN</v>
      </c>
      <c r="E751" s="12">
        <v>35.090000000000003</v>
      </c>
      <c r="F751" s="13">
        <v>0</v>
      </c>
      <c r="G751" s="14" t="s">
        <v>198</v>
      </c>
    </row>
    <row r="752" spans="1:7" x14ac:dyDescent="0.25">
      <c r="A752" s="34" t="str">
        <f>"P0522002600 ARANDELA"</f>
        <v>P0522002600 ARANDELA</v>
      </c>
      <c r="B752" s="2">
        <v>21</v>
      </c>
      <c r="C752" s="2">
        <v>5</v>
      </c>
      <c r="D752" s="11" t="str">
        <f t="shared" si="21"/>
        <v>UN</v>
      </c>
      <c r="E752" s="12">
        <v>9.2812500000000018</v>
      </c>
      <c r="F752" s="13">
        <v>0</v>
      </c>
      <c r="G752" s="14" t="s">
        <v>198</v>
      </c>
    </row>
    <row r="753" spans="1:7" x14ac:dyDescent="0.25">
      <c r="A753" s="34" t="str">
        <f>"P0522002700 VALVULA DISPARO"</f>
        <v>P0522002700 VALVULA DISPARO</v>
      </c>
      <c r="B753" s="2">
        <v>21</v>
      </c>
      <c r="C753" s="2">
        <v>7</v>
      </c>
      <c r="D753" s="11" t="str">
        <f t="shared" si="21"/>
        <v>UN</v>
      </c>
      <c r="E753" s="12">
        <v>14.4375</v>
      </c>
      <c r="F753" s="13">
        <v>0</v>
      </c>
      <c r="G753" s="14" t="s">
        <v>198</v>
      </c>
    </row>
    <row r="754" spans="1:7" x14ac:dyDescent="0.25">
      <c r="A754" s="34" t="str">
        <f>"P0525201062 MUELLE CABEZA"</f>
        <v>P0525201062 MUELLE CABEZA</v>
      </c>
      <c r="B754" s="2">
        <v>21</v>
      </c>
      <c r="C754" s="2">
        <v>8</v>
      </c>
      <c r="D754" s="11" t="str">
        <f t="shared" si="21"/>
        <v>UN</v>
      </c>
      <c r="E754" s="12">
        <v>16.500000000000004</v>
      </c>
      <c r="F754" s="13">
        <v>0</v>
      </c>
      <c r="G754" s="14" t="s">
        <v>198</v>
      </c>
    </row>
    <row r="755" spans="1:7" x14ac:dyDescent="0.25">
      <c r="A755" s="34" t="str">
        <f>"P0525201862 GATILLO INFERIOR"</f>
        <v>P0525201862 GATILLO INFERIOR</v>
      </c>
      <c r="B755" s="2">
        <v>21</v>
      </c>
      <c r="C755" s="2">
        <v>1</v>
      </c>
      <c r="D755" s="11" t="str">
        <f t="shared" si="21"/>
        <v>UN</v>
      </c>
      <c r="E755" s="12">
        <v>2.0625000000000004</v>
      </c>
      <c r="F755" s="13">
        <v>0</v>
      </c>
      <c r="G755" s="14" t="s">
        <v>198</v>
      </c>
    </row>
    <row r="756" spans="1:7" x14ac:dyDescent="0.25">
      <c r="A756" s="34" t="str">
        <f>"P0525202462 EMPUJADOR"</f>
        <v>P0525202462 EMPUJADOR</v>
      </c>
      <c r="B756" s="2">
        <v>21</v>
      </c>
      <c r="C756" s="2">
        <v>16</v>
      </c>
      <c r="D756" s="11" t="str">
        <f t="shared" si="21"/>
        <v>UN</v>
      </c>
      <c r="E756" s="12">
        <v>70.180000000000007</v>
      </c>
      <c r="F756" s="13">
        <v>0</v>
      </c>
      <c r="G756" s="14" t="s">
        <v>198</v>
      </c>
    </row>
    <row r="757" spans="1:7" x14ac:dyDescent="0.25">
      <c r="A757" s="34" t="str">
        <f>"P0550000605 PISTA"</f>
        <v>P0550000605 PISTA</v>
      </c>
      <c r="B757" s="2">
        <v>21</v>
      </c>
      <c r="C757" s="2">
        <v>7</v>
      </c>
      <c r="D757" s="11" t="str">
        <f t="shared" si="21"/>
        <v>UN</v>
      </c>
      <c r="E757" s="12">
        <v>173.82749999999999</v>
      </c>
      <c r="F757" s="13">
        <v>0</v>
      </c>
      <c r="G757" s="14" t="s">
        <v>198</v>
      </c>
    </row>
    <row r="758" spans="1:7" x14ac:dyDescent="0.25">
      <c r="A758" s="34" t="str">
        <f>"P0595104601 GATILLO SA 80/16"</f>
        <v>P0595104601 GATILLO SA 80/16</v>
      </c>
      <c r="B758" s="2">
        <v>21</v>
      </c>
      <c r="C758" s="2">
        <v>2</v>
      </c>
      <c r="D758" s="11" t="str">
        <f t="shared" si="21"/>
        <v>UN</v>
      </c>
      <c r="E758" s="12">
        <v>19.332500000000003</v>
      </c>
      <c r="F758" s="13">
        <v>0</v>
      </c>
      <c r="G758" s="14" t="s">
        <v>198</v>
      </c>
    </row>
    <row r="759" spans="1:7" x14ac:dyDescent="0.25">
      <c r="A759" s="34" t="str">
        <f>"P0595203162 MUELLE EMPUJADOR"</f>
        <v>P0595203162 MUELLE EMPUJADOR</v>
      </c>
      <c r="B759" s="2">
        <v>21</v>
      </c>
      <c r="C759" s="2">
        <v>55</v>
      </c>
      <c r="D759" s="11" t="str">
        <f t="shared" si="21"/>
        <v>UN</v>
      </c>
      <c r="E759" s="12">
        <v>102.09375000000001</v>
      </c>
      <c r="F759" s="13">
        <v>0</v>
      </c>
      <c r="G759" s="14" t="s">
        <v>198</v>
      </c>
    </row>
    <row r="760" spans="1:7" x14ac:dyDescent="0.25">
      <c r="A760" s="34" t="str">
        <f>"P0595203162 MUELLE EMPUJADOR"</f>
        <v>P0595203162 MUELLE EMPUJADOR</v>
      </c>
      <c r="B760" s="2">
        <v>21</v>
      </c>
      <c r="C760" s="2">
        <v>6</v>
      </c>
      <c r="D760" s="11" t="str">
        <f t="shared" si="21"/>
        <v>UN</v>
      </c>
      <c r="E760" s="12">
        <v>0</v>
      </c>
      <c r="F760" s="13">
        <v>0</v>
      </c>
      <c r="G760" s="14" t="s">
        <v>198</v>
      </c>
    </row>
    <row r="761" spans="1:7" x14ac:dyDescent="0.25">
      <c r="A761" s="34" t="str">
        <f>"P1120001001 TAPA MORRO 80/16"</f>
        <v>P1120001001 TAPA MORRO 80/16</v>
      </c>
      <c r="B761" s="2">
        <v>21</v>
      </c>
      <c r="C761" s="2">
        <v>1</v>
      </c>
      <c r="D761" s="11" t="str">
        <f t="shared" si="21"/>
        <v>UN</v>
      </c>
      <c r="E761" s="12">
        <v>19.401249999999997</v>
      </c>
      <c r="F761" s="13">
        <v>0</v>
      </c>
      <c r="G761" s="14" t="s">
        <v>198</v>
      </c>
    </row>
    <row r="762" spans="1:7" x14ac:dyDescent="0.25">
      <c r="A762" s="34" t="str">
        <f>"P1370000100 GUARNICION DE JUNTA"</f>
        <v>P1370000100 GUARNICION DE JUNTA</v>
      </c>
      <c r="B762" s="2">
        <v>21</v>
      </c>
      <c r="C762" s="2">
        <v>13</v>
      </c>
      <c r="D762" s="11" t="str">
        <f t="shared" si="21"/>
        <v>UN</v>
      </c>
      <c r="E762" s="12">
        <v>24.131250000000001</v>
      </c>
      <c r="F762" s="13">
        <v>0</v>
      </c>
      <c r="G762" s="14" t="s">
        <v>198</v>
      </c>
    </row>
    <row r="763" spans="1:7" x14ac:dyDescent="0.25">
      <c r="A763" s="34" t="str">
        <f>"P1375200762 TORNILLO TRASERO"</f>
        <v>P1375200762 TORNILLO TRASERO</v>
      </c>
      <c r="B763" s="2">
        <v>21</v>
      </c>
      <c r="C763" s="2">
        <v>19</v>
      </c>
      <c r="D763" s="11" t="str">
        <f t="shared" si="21"/>
        <v>UN</v>
      </c>
      <c r="E763" s="12">
        <v>35.268750000000004</v>
      </c>
      <c r="F763" s="13">
        <v>0</v>
      </c>
      <c r="G763" s="14" t="s">
        <v>198</v>
      </c>
    </row>
    <row r="764" spans="1:7" x14ac:dyDescent="0.25">
      <c r="A764" s="34" t="str">
        <f>"P1380000140-OB1131D1-NUM. 06 TAPA CABEZA"</f>
        <v>P1380000140-OB1131D1-NUM. 06 TAPA CABEZA</v>
      </c>
      <c r="B764" s="2">
        <v>21</v>
      </c>
      <c r="C764" s="2">
        <v>4</v>
      </c>
      <c r="D764" s="11" t="str">
        <f t="shared" si="21"/>
        <v>UN</v>
      </c>
      <c r="E764" s="12">
        <v>117.095</v>
      </c>
      <c r="F764" s="13">
        <v>0</v>
      </c>
      <c r="G764" s="14" t="s">
        <v>198</v>
      </c>
    </row>
    <row r="765" spans="1:7" x14ac:dyDescent="0.25">
      <c r="A765" s="34" t="str">
        <f>"P1410004365 Nº 56 TAPA MORRO (NUEVO)"</f>
        <v>P1410004365 Nº 56 TAPA MORRO (NUEVO)</v>
      </c>
      <c r="B765" s="2">
        <v>21</v>
      </c>
      <c r="C765" s="2">
        <v>33</v>
      </c>
      <c r="D765" s="11" t="str">
        <f t="shared" si="21"/>
        <v>UN</v>
      </c>
      <c r="E765" s="12">
        <v>772.28249999999991</v>
      </c>
      <c r="F765" s="13">
        <v>0</v>
      </c>
      <c r="G765" s="14" t="s">
        <v>198</v>
      </c>
    </row>
    <row r="766" spans="1:7" x14ac:dyDescent="0.25">
      <c r="A766" s="34" t="str">
        <f>"P1416304465 NUM.55 CHAPA MORRO SA 14/50"</f>
        <v>P1416304465 NUM.55 CHAPA MORRO SA 14/50</v>
      </c>
      <c r="B766" s="2">
        <v>21</v>
      </c>
      <c r="C766" s="2">
        <v>2</v>
      </c>
      <c r="D766" s="11" t="str">
        <f t="shared" si="21"/>
        <v>UN</v>
      </c>
      <c r="E766" s="12">
        <v>25.162500000000005</v>
      </c>
      <c r="F766" s="13">
        <v>0</v>
      </c>
      <c r="G766" s="14" t="s">
        <v>198</v>
      </c>
    </row>
    <row r="767" spans="1:7" x14ac:dyDescent="0.25">
      <c r="A767" s="34" t="str">
        <f>"P1420000208 NUM.60 EMP. SA 14/50"</f>
        <v>P1420000208 NUM.60 EMP. SA 14/50</v>
      </c>
      <c r="B767" s="2">
        <v>21</v>
      </c>
      <c r="C767" s="2">
        <v>12</v>
      </c>
      <c r="D767" s="11" t="str">
        <f t="shared" si="21"/>
        <v>UN</v>
      </c>
      <c r="E767" s="12">
        <v>165.82500000000002</v>
      </c>
      <c r="F767" s="13">
        <v>0</v>
      </c>
      <c r="G767" s="14" t="s">
        <v>198</v>
      </c>
    </row>
    <row r="768" spans="1:7" x14ac:dyDescent="0.25">
      <c r="A768" s="34" t="str">
        <f>"P1630000200 GUARNICION DE JUNTA"</f>
        <v>P1630000200 GUARNICION DE JUNTA</v>
      </c>
      <c r="B768" s="2">
        <v>21</v>
      </c>
      <c r="C768" s="2">
        <v>2</v>
      </c>
      <c r="D768" s="11" t="str">
        <f t="shared" si="21"/>
        <v>UN</v>
      </c>
      <c r="E768" s="12">
        <v>9.2399999999999984</v>
      </c>
      <c r="F768" s="13">
        <v>0</v>
      </c>
      <c r="G768" s="14" t="s">
        <v>198</v>
      </c>
    </row>
    <row r="769" spans="1:7" x14ac:dyDescent="0.25">
      <c r="A769" s="34" t="str">
        <f>"P1632000500 PISTON"</f>
        <v>P1632000500 PISTON</v>
      </c>
      <c r="B769" s="2">
        <v>21</v>
      </c>
      <c r="C769" s="2">
        <v>2</v>
      </c>
      <c r="D769" s="11" t="str">
        <f t="shared" si="21"/>
        <v>UN</v>
      </c>
      <c r="E769" s="12">
        <v>38.967500000000001</v>
      </c>
      <c r="F769" s="13">
        <v>0</v>
      </c>
      <c r="G769" s="14" t="s">
        <v>198</v>
      </c>
    </row>
    <row r="770" spans="1:7" x14ac:dyDescent="0.25">
      <c r="A770" s="34" t="str">
        <f>"P1640000101 GUIA CUBIERTA A"</f>
        <v>P1640000101 GUIA CUBIERTA A</v>
      </c>
      <c r="B770" s="2">
        <v>21</v>
      </c>
      <c r="C770" s="2">
        <v>1</v>
      </c>
      <c r="D770" s="11" t="str">
        <f t="shared" si="21"/>
        <v>UN</v>
      </c>
      <c r="E770" s="12">
        <v>21.890000000000004</v>
      </c>
      <c r="F770" s="13">
        <v>0</v>
      </c>
      <c r="G770" s="14" t="s">
        <v>198</v>
      </c>
    </row>
    <row r="771" spans="1:7" x14ac:dyDescent="0.25">
      <c r="A771" s="34" t="str">
        <f>"P1640001301 GUIA CONDUCTORA"</f>
        <v>P1640001301 GUIA CONDUCTORA</v>
      </c>
      <c r="B771" s="2">
        <v>21</v>
      </c>
      <c r="C771" s="2">
        <v>2</v>
      </c>
      <c r="D771" s="11" t="str">
        <f t="shared" si="21"/>
        <v>UN</v>
      </c>
      <c r="E771" s="12">
        <v>78.540000000000006</v>
      </c>
      <c r="F771" s="13">
        <v>0</v>
      </c>
      <c r="G771" s="14" t="s">
        <v>198</v>
      </c>
    </row>
    <row r="772" spans="1:7" x14ac:dyDescent="0.25">
      <c r="A772" s="34" t="str">
        <f>"P1640002900 CILINDRO"</f>
        <v>P1640002900 CILINDRO</v>
      </c>
      <c r="B772" s="2">
        <v>21</v>
      </c>
      <c r="C772" s="2">
        <v>5</v>
      </c>
      <c r="D772" s="11" t="str">
        <f t="shared" si="21"/>
        <v>UN</v>
      </c>
      <c r="E772" s="12">
        <v>144.23750000000001</v>
      </c>
      <c r="F772" s="13">
        <v>0</v>
      </c>
      <c r="G772" s="14" t="s">
        <v>198</v>
      </c>
    </row>
    <row r="773" spans="1:7" x14ac:dyDescent="0.25">
      <c r="A773" s="34" t="str">
        <f>"P1645102801 SOPORTE TRASERO"</f>
        <v>P1645102801 SOPORTE TRASERO</v>
      </c>
      <c r="B773" s="2">
        <v>21</v>
      </c>
      <c r="C773" s="2">
        <v>5</v>
      </c>
      <c r="D773" s="11" t="str">
        <f t="shared" si="21"/>
        <v>UN</v>
      </c>
      <c r="E773" s="12">
        <v>54.106250000000003</v>
      </c>
      <c r="F773" s="13">
        <v>0</v>
      </c>
      <c r="G773" s="14" t="s">
        <v>198</v>
      </c>
    </row>
    <row r="774" spans="1:7" x14ac:dyDescent="0.25">
      <c r="A774" s="34" t="str">
        <f>"P1645203062 TORNILLO"</f>
        <v>P1645203062 TORNILLO</v>
      </c>
      <c r="B774" s="2">
        <v>21</v>
      </c>
      <c r="C774" s="2">
        <v>2</v>
      </c>
      <c r="D774" s="11" t="str">
        <f t="shared" si="21"/>
        <v>UN</v>
      </c>
      <c r="E774" s="12">
        <v>3.7125000000000008</v>
      </c>
      <c r="F774" s="13">
        <v>0</v>
      </c>
      <c r="G774" s="14" t="s">
        <v>198</v>
      </c>
    </row>
    <row r="775" spans="1:7" x14ac:dyDescent="0.25">
      <c r="A775" s="34" t="str">
        <f>"P1645203462 BOTON"</f>
        <v>P1645203462 BOTON</v>
      </c>
      <c r="B775" s="2">
        <v>21</v>
      </c>
      <c r="C775" s="2">
        <v>2</v>
      </c>
      <c r="D775" s="11" t="str">
        <f t="shared" si="21"/>
        <v>UN</v>
      </c>
      <c r="E775" s="12">
        <v>11.7425</v>
      </c>
      <c r="F775" s="13">
        <v>0</v>
      </c>
      <c r="G775" s="14" t="s">
        <v>198</v>
      </c>
    </row>
    <row r="776" spans="1:7" x14ac:dyDescent="0.25">
      <c r="A776" s="34" t="str">
        <f>"PACKING SA-MG30"</f>
        <v>PACKING SA-MG30</v>
      </c>
      <c r="B776" s="2">
        <v>21</v>
      </c>
      <c r="C776" s="2">
        <v>7</v>
      </c>
      <c r="D776" s="11" t="str">
        <f t="shared" si="21"/>
        <v>UN</v>
      </c>
      <c r="E776" s="12">
        <v>16.458749999999995</v>
      </c>
      <c r="F776" s="13">
        <v>0</v>
      </c>
      <c r="G776" s="14" t="s">
        <v>198</v>
      </c>
    </row>
    <row r="777" spans="1:7" x14ac:dyDescent="0.25">
      <c r="A777" s="34" t="str">
        <f>"part no 2210 JUNTA"</f>
        <v>part no 2210 JUNTA</v>
      </c>
      <c r="B777" s="2">
        <v>21</v>
      </c>
      <c r="C777" s="2">
        <v>15</v>
      </c>
      <c r="D777" s="11" t="str">
        <f t="shared" si="21"/>
        <v>UN</v>
      </c>
      <c r="E777" s="12">
        <v>33.206250000000004</v>
      </c>
      <c r="F777" s="13">
        <v>0</v>
      </c>
      <c r="G777" s="14" t="s">
        <v>198</v>
      </c>
    </row>
    <row r="778" spans="1:7" x14ac:dyDescent="0.25">
      <c r="A778" s="34" t="str">
        <f>"part no 6250 TAPA MORRO"</f>
        <v>part no 6250 TAPA MORRO</v>
      </c>
      <c r="B778" s="2">
        <v>21</v>
      </c>
      <c r="C778" s="2">
        <v>1</v>
      </c>
      <c r="D778" s="11" t="str">
        <f t="shared" ref="D778:D841" si="22">"UN"</f>
        <v>UN</v>
      </c>
      <c r="E778" s="12">
        <v>13.2</v>
      </c>
      <c r="F778" s="13">
        <v>0</v>
      </c>
      <c r="G778" s="14" t="s">
        <v>198</v>
      </c>
    </row>
    <row r="779" spans="1:7" x14ac:dyDescent="0.25">
      <c r="A779" s="34" t="str">
        <f>"PART NO. 102 TAPA"</f>
        <v>PART NO. 102 TAPA</v>
      </c>
      <c r="B779" s="2">
        <v>21</v>
      </c>
      <c r="C779" s="2">
        <v>1</v>
      </c>
      <c r="D779" s="11" t="str">
        <f t="shared" si="22"/>
        <v>UN</v>
      </c>
      <c r="E779" s="12">
        <v>3.2312500000000006</v>
      </c>
      <c r="F779" s="13">
        <v>0</v>
      </c>
      <c r="G779" s="14" t="s">
        <v>198</v>
      </c>
    </row>
    <row r="780" spans="1:7" x14ac:dyDescent="0.25">
      <c r="A780" s="34" t="str">
        <f>"PART No. 108"</f>
        <v>PART No. 108</v>
      </c>
      <c r="B780" s="2">
        <v>21</v>
      </c>
      <c r="C780" s="2">
        <v>1</v>
      </c>
      <c r="D780" s="11" t="str">
        <f t="shared" si="22"/>
        <v>UN</v>
      </c>
      <c r="E780" s="12">
        <v>11.481250000000001</v>
      </c>
      <c r="F780" s="13">
        <v>0</v>
      </c>
      <c r="G780" s="14" t="s">
        <v>198</v>
      </c>
    </row>
    <row r="781" spans="1:7" x14ac:dyDescent="0.25">
      <c r="A781" s="34" t="str">
        <f>"PART NO. 117 ASAMBLE DE CILINDRO"</f>
        <v>PART NO. 117 ASAMBLE DE CILINDRO</v>
      </c>
      <c r="B781" s="2">
        <v>21</v>
      </c>
      <c r="C781" s="2">
        <v>2</v>
      </c>
      <c r="D781" s="11" t="str">
        <f t="shared" si="22"/>
        <v>UN</v>
      </c>
      <c r="E781" s="12">
        <v>34.1</v>
      </c>
      <c r="F781" s="13">
        <v>0</v>
      </c>
      <c r="G781" s="14" t="s">
        <v>198</v>
      </c>
    </row>
    <row r="782" spans="1:7" x14ac:dyDescent="0.25">
      <c r="A782" s="34" t="str">
        <f>"PART NO. 120"</f>
        <v>PART NO. 120</v>
      </c>
      <c r="B782" s="2">
        <v>21</v>
      </c>
      <c r="C782" s="2">
        <v>8</v>
      </c>
      <c r="D782" s="11" t="str">
        <f t="shared" si="22"/>
        <v>UN</v>
      </c>
      <c r="E782" s="12">
        <v>17.82</v>
      </c>
      <c r="F782" s="13">
        <v>0</v>
      </c>
      <c r="G782" s="14" t="s">
        <v>198</v>
      </c>
    </row>
    <row r="783" spans="1:7" x14ac:dyDescent="0.25">
      <c r="A783" s="34" t="str">
        <f>"PART NO. 202 ANILLO DE VALVULA"</f>
        <v>PART NO. 202 ANILLO DE VALVULA</v>
      </c>
      <c r="B783" s="2">
        <v>21</v>
      </c>
      <c r="C783" s="2">
        <v>2</v>
      </c>
      <c r="D783" s="11" t="str">
        <f t="shared" si="22"/>
        <v>UN</v>
      </c>
      <c r="E783" s="12">
        <v>7.8650000000000002</v>
      </c>
      <c r="F783" s="13">
        <v>0</v>
      </c>
      <c r="G783" s="14" t="s">
        <v>198</v>
      </c>
    </row>
    <row r="784" spans="1:7" x14ac:dyDescent="0.25">
      <c r="A784" s="34" t="str">
        <f>"PART NO. 203 ASAMBLE DE VALVULA"</f>
        <v>PART NO. 203 ASAMBLE DE VALVULA</v>
      </c>
      <c r="B784" s="2">
        <v>21</v>
      </c>
      <c r="C784" s="2">
        <v>2</v>
      </c>
      <c r="D784" s="11" t="str">
        <f t="shared" si="22"/>
        <v>UN</v>
      </c>
      <c r="E784" s="12">
        <v>4.1800000000000006</v>
      </c>
      <c r="F784" s="13">
        <v>0</v>
      </c>
      <c r="G784" s="14" t="s">
        <v>198</v>
      </c>
    </row>
    <row r="785" spans="1:7" x14ac:dyDescent="0.25">
      <c r="A785" s="34" t="str">
        <f>"PART NO. 205 VALVULA GATILLO"</f>
        <v>PART NO. 205 VALVULA GATILLO</v>
      </c>
      <c r="B785" s="2">
        <v>21</v>
      </c>
      <c r="C785" s="2">
        <v>3</v>
      </c>
      <c r="D785" s="11" t="str">
        <f t="shared" si="22"/>
        <v>UN</v>
      </c>
      <c r="E785" s="12">
        <v>12.127500000000005</v>
      </c>
      <c r="F785" s="13">
        <v>0</v>
      </c>
      <c r="G785" s="14" t="s">
        <v>198</v>
      </c>
    </row>
    <row r="786" spans="1:7" x14ac:dyDescent="0.25">
      <c r="A786" s="34" t="str">
        <f>"PART NO. 207 MUELLE GATILLO"</f>
        <v>PART NO. 207 MUELLE GATILLO</v>
      </c>
      <c r="B786" s="2">
        <v>21</v>
      </c>
      <c r="C786" s="2">
        <v>9</v>
      </c>
      <c r="D786" s="11" t="str">
        <f t="shared" si="22"/>
        <v>UN</v>
      </c>
      <c r="E786" s="12">
        <v>17.44875</v>
      </c>
      <c r="F786" s="13">
        <v>0</v>
      </c>
      <c r="G786" s="14" t="s">
        <v>198</v>
      </c>
    </row>
    <row r="787" spans="1:7" x14ac:dyDescent="0.25">
      <c r="A787" s="34" t="str">
        <f>"PART NO. 208 GATILLO ELEVADOR"</f>
        <v>PART NO. 208 GATILLO ELEVADOR</v>
      </c>
      <c r="B787" s="2">
        <v>21</v>
      </c>
      <c r="C787" s="2">
        <v>12</v>
      </c>
      <c r="D787" s="11" t="str">
        <f t="shared" si="22"/>
        <v>UN</v>
      </c>
      <c r="E787" s="12">
        <v>65.174999999999997</v>
      </c>
      <c r="F787" s="13">
        <v>0</v>
      </c>
      <c r="G787" s="14" t="s">
        <v>198</v>
      </c>
    </row>
    <row r="788" spans="1:7" x14ac:dyDescent="0.25">
      <c r="A788" s="34" t="str">
        <f>"PART NO. 209 GATILLO ELEVADOR"</f>
        <v>PART NO. 209 GATILLO ELEVADOR</v>
      </c>
      <c r="B788" s="2">
        <v>21</v>
      </c>
      <c r="C788" s="2">
        <v>3</v>
      </c>
      <c r="D788" s="11" t="str">
        <f t="shared" si="22"/>
        <v>UN</v>
      </c>
      <c r="E788" s="12">
        <v>7.1362500000000004</v>
      </c>
      <c r="F788" s="13">
        <v>0</v>
      </c>
      <c r="G788" s="14" t="s">
        <v>198</v>
      </c>
    </row>
    <row r="789" spans="1:7" x14ac:dyDescent="0.25">
      <c r="A789" s="34" t="str">
        <f>"PART NO. 210 GATILLO ELEVADOR"</f>
        <v>PART NO. 210 GATILLO ELEVADOR</v>
      </c>
      <c r="B789" s="2">
        <v>21</v>
      </c>
      <c r="C789" s="2">
        <v>4</v>
      </c>
      <c r="D789" s="11" t="str">
        <f t="shared" si="22"/>
        <v>UN</v>
      </c>
      <c r="E789" s="12">
        <v>7.4250000000000007</v>
      </c>
      <c r="F789" s="13">
        <v>0</v>
      </c>
      <c r="G789" s="14" t="s">
        <v>198</v>
      </c>
    </row>
    <row r="790" spans="1:7" x14ac:dyDescent="0.25">
      <c r="A790" s="34" t="str">
        <f>"part no. 2214-1 JUNTA"</f>
        <v>part no. 2214-1 JUNTA</v>
      </c>
      <c r="B790" s="2">
        <v>21</v>
      </c>
      <c r="C790" s="2">
        <v>14</v>
      </c>
      <c r="D790" s="11" t="str">
        <f t="shared" si="22"/>
        <v>UN</v>
      </c>
      <c r="E790" s="12">
        <v>26.565000000000001</v>
      </c>
      <c r="F790" s="13">
        <v>0</v>
      </c>
      <c r="G790" s="14" t="s">
        <v>198</v>
      </c>
    </row>
    <row r="791" spans="1:7" x14ac:dyDescent="0.25">
      <c r="A791" s="34" t="str">
        <f>"PART NO. 305 PASADOR"</f>
        <v>PART NO. 305 PASADOR</v>
      </c>
      <c r="B791" s="2">
        <v>21</v>
      </c>
      <c r="C791" s="2">
        <v>20</v>
      </c>
      <c r="D791" s="11" t="str">
        <f t="shared" si="22"/>
        <v>UN</v>
      </c>
      <c r="E791" s="12">
        <v>37.125000000000007</v>
      </c>
      <c r="F791" s="13">
        <v>0</v>
      </c>
      <c r="G791" s="14" t="s">
        <v>198</v>
      </c>
    </row>
    <row r="792" spans="1:7" x14ac:dyDescent="0.25">
      <c r="A792" s="34" t="str">
        <f>"PART NO. 403 PISTA INFERIOR"</f>
        <v>PART NO. 403 PISTA INFERIOR</v>
      </c>
      <c r="B792" s="2">
        <v>21</v>
      </c>
      <c r="C792" s="2">
        <v>2</v>
      </c>
      <c r="D792" s="11" t="str">
        <f t="shared" si="22"/>
        <v>UN</v>
      </c>
      <c r="E792" s="12">
        <v>53.734999999999999</v>
      </c>
      <c r="F792" s="13">
        <v>0</v>
      </c>
      <c r="G792" s="14" t="s">
        <v>198</v>
      </c>
    </row>
    <row r="793" spans="1:7" x14ac:dyDescent="0.25">
      <c r="A793" s="34" t="str">
        <f>"PART NO. 404 SEPARADOR"</f>
        <v>PART NO. 404 SEPARADOR</v>
      </c>
      <c r="B793" s="2">
        <v>21</v>
      </c>
      <c r="C793" s="2">
        <v>5</v>
      </c>
      <c r="D793" s="11" t="str">
        <f t="shared" si="22"/>
        <v>UN</v>
      </c>
      <c r="E793" s="12">
        <v>23.100000000000005</v>
      </c>
      <c r="F793" s="13">
        <v>0</v>
      </c>
      <c r="G793" s="14" t="s">
        <v>198</v>
      </c>
    </row>
    <row r="794" spans="1:7" x14ac:dyDescent="0.25">
      <c r="A794" s="34" t="str">
        <f>"PART NO. 405 GUIA DE EMPUJADOR"</f>
        <v>PART NO. 405 GUIA DE EMPUJADOR</v>
      </c>
      <c r="B794" s="2">
        <v>21</v>
      </c>
      <c r="C794" s="2">
        <v>3</v>
      </c>
      <c r="D794" s="11" t="str">
        <f t="shared" si="22"/>
        <v>UN</v>
      </c>
      <c r="E794" s="12">
        <v>35.021250000000009</v>
      </c>
      <c r="F794" s="13">
        <v>0</v>
      </c>
      <c r="G794" s="14" t="s">
        <v>198</v>
      </c>
    </row>
    <row r="795" spans="1:7" x14ac:dyDescent="0.25">
      <c r="A795" s="34" t="str">
        <f>"PART NO. 408 BRAZO"</f>
        <v>PART NO. 408 BRAZO</v>
      </c>
      <c r="B795" s="2">
        <v>21</v>
      </c>
      <c r="C795" s="2">
        <v>5</v>
      </c>
      <c r="D795" s="11" t="str">
        <f t="shared" si="22"/>
        <v>UN</v>
      </c>
      <c r="E795" s="12">
        <v>11.137499999999999</v>
      </c>
      <c r="F795" s="13">
        <v>0</v>
      </c>
      <c r="G795" s="14" t="s">
        <v>198</v>
      </c>
    </row>
    <row r="796" spans="1:7" x14ac:dyDescent="0.25">
      <c r="A796" s="34" t="str">
        <f>"PART NO. 409 CUBIERTA DE CARGADOR"</f>
        <v>PART NO. 409 CUBIERTA DE CARGADOR</v>
      </c>
      <c r="B796" s="2">
        <v>21</v>
      </c>
      <c r="C796" s="2">
        <v>2</v>
      </c>
      <c r="D796" s="11" t="str">
        <f t="shared" si="22"/>
        <v>UN</v>
      </c>
      <c r="E796" s="12">
        <v>57.805000000000007</v>
      </c>
      <c r="F796" s="13">
        <v>0</v>
      </c>
      <c r="G796" s="14" t="s">
        <v>198</v>
      </c>
    </row>
    <row r="797" spans="1:7" x14ac:dyDescent="0.25">
      <c r="A797" s="34" t="str">
        <f>"PART NO. 412 TOPE DE PLACA"</f>
        <v>PART NO. 412 TOPE DE PLACA</v>
      </c>
      <c r="B797" s="2">
        <v>21</v>
      </c>
      <c r="C797" s="2">
        <v>5</v>
      </c>
      <c r="D797" s="11" t="str">
        <f t="shared" si="22"/>
        <v>UN</v>
      </c>
      <c r="E797" s="12">
        <v>33.687500000000007</v>
      </c>
      <c r="F797" s="13">
        <v>0</v>
      </c>
      <c r="G797" s="14" t="s">
        <v>198</v>
      </c>
    </row>
    <row r="798" spans="1:7" x14ac:dyDescent="0.25">
      <c r="A798" s="34" t="str">
        <f>"PART NO. 415 CUBIERTA DE CARGADOR"</f>
        <v>PART NO. 415 CUBIERTA DE CARGADOR</v>
      </c>
      <c r="B798" s="2">
        <v>21</v>
      </c>
      <c r="C798" s="2">
        <v>3</v>
      </c>
      <c r="D798" s="11" t="str">
        <f t="shared" si="22"/>
        <v>UN</v>
      </c>
      <c r="E798" s="12">
        <v>9.3637500000000031</v>
      </c>
      <c r="F798" s="13">
        <v>0</v>
      </c>
      <c r="G798" s="14" t="s">
        <v>198</v>
      </c>
    </row>
    <row r="799" spans="1:7" x14ac:dyDescent="0.25">
      <c r="A799" s="34" t="str">
        <f>"PART NO. 417 MUELLE"</f>
        <v>PART NO. 417 MUELLE</v>
      </c>
      <c r="B799" s="2">
        <v>21</v>
      </c>
      <c r="C799" s="2">
        <v>11</v>
      </c>
      <c r="D799" s="11" t="str">
        <f t="shared" si="22"/>
        <v>UN</v>
      </c>
      <c r="E799" s="12">
        <v>20.872500000000002</v>
      </c>
      <c r="F799" s="13">
        <v>0</v>
      </c>
      <c r="G799" s="14" t="s">
        <v>198</v>
      </c>
    </row>
    <row r="800" spans="1:7" x14ac:dyDescent="0.25">
      <c r="A800" s="34" t="str">
        <f>"PART NO. 418 EMPUJADOR"</f>
        <v>PART NO. 418 EMPUJADOR</v>
      </c>
      <c r="B800" s="2">
        <v>21</v>
      </c>
      <c r="C800" s="2">
        <v>13</v>
      </c>
      <c r="D800" s="11" t="str">
        <f t="shared" si="22"/>
        <v>UN</v>
      </c>
      <c r="E800" s="12">
        <v>58.63000000000001</v>
      </c>
      <c r="F800" s="13">
        <v>0</v>
      </c>
      <c r="G800" s="14" t="s">
        <v>198</v>
      </c>
    </row>
    <row r="801" spans="1:7" x14ac:dyDescent="0.25">
      <c r="A801" s="34" t="str">
        <f>"PART NO. 419 EMPUJADOR A"</f>
        <v>PART NO. 419 EMPUJADOR A</v>
      </c>
      <c r="B801" s="2">
        <v>21</v>
      </c>
      <c r="C801" s="2">
        <v>11</v>
      </c>
      <c r="D801" s="11" t="str">
        <f t="shared" si="22"/>
        <v>UN</v>
      </c>
      <c r="E801" s="12">
        <v>32.367500000000014</v>
      </c>
      <c r="F801" s="13">
        <v>0</v>
      </c>
      <c r="G801" s="14" t="s">
        <v>198</v>
      </c>
    </row>
    <row r="802" spans="1:7" x14ac:dyDescent="0.25">
      <c r="A802" s="34" t="str">
        <f>"PART NO. 420 EMPUJADOR B"</f>
        <v>PART NO. 420 EMPUJADOR B</v>
      </c>
      <c r="B802" s="2">
        <v>21</v>
      </c>
      <c r="C802" s="2">
        <v>9</v>
      </c>
      <c r="D802" s="11" t="str">
        <f t="shared" si="22"/>
        <v>UN</v>
      </c>
      <c r="E802" s="12">
        <v>22.398749999999996</v>
      </c>
      <c r="F802" s="13">
        <v>0</v>
      </c>
      <c r="G802" s="14" t="s">
        <v>198</v>
      </c>
    </row>
    <row r="803" spans="1:7" x14ac:dyDescent="0.25">
      <c r="A803" s="34" t="str">
        <f>"PART NO. 421 EMPUJADOR"</f>
        <v>PART NO. 421 EMPUJADOR</v>
      </c>
      <c r="B803" s="2">
        <v>21</v>
      </c>
      <c r="C803" s="2">
        <v>5</v>
      </c>
      <c r="D803" s="11" t="str">
        <f t="shared" si="22"/>
        <v>UN</v>
      </c>
      <c r="E803" s="12">
        <v>17.325000000000003</v>
      </c>
      <c r="F803" s="13">
        <v>0</v>
      </c>
      <c r="G803" s="14" t="s">
        <v>198</v>
      </c>
    </row>
    <row r="804" spans="1:7" x14ac:dyDescent="0.25">
      <c r="A804" s="34" t="str">
        <f>"PART NO. 425 TORNILLO"</f>
        <v>PART NO. 425 TORNILLO</v>
      </c>
      <c r="B804" s="2">
        <v>21</v>
      </c>
      <c r="C804" s="2">
        <v>8</v>
      </c>
      <c r="D804" s="11" t="str">
        <f t="shared" si="22"/>
        <v>UN</v>
      </c>
      <c r="E804" s="12">
        <v>14.850000000000003</v>
      </c>
      <c r="F804" s="13">
        <v>0</v>
      </c>
      <c r="G804" s="14" t="s">
        <v>198</v>
      </c>
    </row>
    <row r="805" spans="1:7" x14ac:dyDescent="0.25">
      <c r="A805" s="34" t="str">
        <f>"PART NO. 426 TORNILLO"</f>
        <v>PART NO. 426 TORNILLO</v>
      </c>
      <c r="B805" s="2">
        <v>21</v>
      </c>
      <c r="C805" s="2">
        <v>20</v>
      </c>
      <c r="D805" s="11" t="str">
        <f t="shared" si="22"/>
        <v>UN</v>
      </c>
      <c r="E805" s="12">
        <v>37.125000000000007</v>
      </c>
      <c r="F805" s="13">
        <v>0</v>
      </c>
      <c r="G805" s="14" t="s">
        <v>198</v>
      </c>
    </row>
    <row r="806" spans="1:7" x14ac:dyDescent="0.25">
      <c r="A806" s="34" t="str">
        <f>"PART NO. 428 MUELLE EMP."</f>
        <v>PART NO. 428 MUELLE EMP.</v>
      </c>
      <c r="B806" s="2">
        <v>21</v>
      </c>
      <c r="C806" s="2">
        <v>12</v>
      </c>
      <c r="D806" s="11" t="str">
        <f t="shared" si="22"/>
        <v>UN</v>
      </c>
      <c r="E806" s="12">
        <v>24.750000000000004</v>
      </c>
      <c r="F806" s="13">
        <v>0</v>
      </c>
      <c r="G806" s="14" t="s">
        <v>198</v>
      </c>
    </row>
    <row r="807" spans="1:7" x14ac:dyDescent="0.25">
      <c r="A807" s="34" t="str">
        <f>"PART NO. 431 MUELLE"</f>
        <v>PART NO. 431 MUELLE</v>
      </c>
      <c r="B807" s="2">
        <v>21</v>
      </c>
      <c r="C807" s="2">
        <v>10</v>
      </c>
      <c r="D807" s="11" t="str">
        <f t="shared" si="22"/>
        <v>UN</v>
      </c>
      <c r="E807" s="12">
        <v>23.512500000000006</v>
      </c>
      <c r="F807" s="13">
        <v>0</v>
      </c>
      <c r="G807" s="14" t="s">
        <v>198</v>
      </c>
    </row>
    <row r="808" spans="1:7" x14ac:dyDescent="0.25">
      <c r="A808" s="34" t="str">
        <f>"PART NO. 432 GATILLO"</f>
        <v>PART NO. 432 GATILLO</v>
      </c>
      <c r="B808" s="2">
        <v>21</v>
      </c>
      <c r="C808" s="2">
        <v>4</v>
      </c>
      <c r="D808" s="11" t="str">
        <f t="shared" si="22"/>
        <v>UN</v>
      </c>
      <c r="E808" s="12">
        <v>17.545000000000002</v>
      </c>
      <c r="F808" s="13">
        <v>0</v>
      </c>
      <c r="G808" s="14" t="s">
        <v>198</v>
      </c>
    </row>
    <row r="809" spans="1:7" x14ac:dyDescent="0.25">
      <c r="A809" s="34" t="str">
        <f>"PART NO. 433 GATILLO"</f>
        <v>PART NO. 433 GATILLO</v>
      </c>
      <c r="B809" s="2">
        <v>21</v>
      </c>
      <c r="C809" s="2">
        <v>18</v>
      </c>
      <c r="D809" s="11" t="str">
        <f t="shared" si="22"/>
        <v>UN</v>
      </c>
      <c r="E809" s="12">
        <v>52.964999999999996</v>
      </c>
      <c r="F809" s="13">
        <v>0</v>
      </c>
      <c r="G809" s="14" t="s">
        <v>198</v>
      </c>
    </row>
    <row r="810" spans="1:7" x14ac:dyDescent="0.25">
      <c r="A810" s="34" t="str">
        <f>"PART NO.105 TAPA"</f>
        <v>PART NO.105 TAPA</v>
      </c>
      <c r="B810" s="2">
        <v>21</v>
      </c>
      <c r="C810" s="2">
        <v>1</v>
      </c>
      <c r="D810" s="11" t="str">
        <f t="shared" si="22"/>
        <v>UN</v>
      </c>
      <c r="E810" s="12">
        <v>11.522500000000003</v>
      </c>
      <c r="F810" s="13">
        <v>0</v>
      </c>
      <c r="G810" s="14" t="s">
        <v>198</v>
      </c>
    </row>
    <row r="811" spans="1:7" x14ac:dyDescent="0.25">
      <c r="A811" s="34" t="str">
        <f>"PART NO.111 JUNTA"</f>
        <v>PART NO.111 JUNTA</v>
      </c>
      <c r="B811" s="2">
        <v>21</v>
      </c>
      <c r="C811" s="2">
        <v>13</v>
      </c>
      <c r="D811" s="11" t="str">
        <f t="shared" si="22"/>
        <v>UN</v>
      </c>
      <c r="E811" s="12">
        <v>24.131250000000001</v>
      </c>
      <c r="F811" s="13">
        <v>0</v>
      </c>
      <c r="G811" s="14" t="s">
        <v>198</v>
      </c>
    </row>
    <row r="812" spans="1:7" x14ac:dyDescent="0.25">
      <c r="A812" s="34" t="str">
        <f>"PART NO.115 PISTON VALVULA"</f>
        <v>PART NO.115 PISTON VALVULA</v>
      </c>
      <c r="B812" s="2">
        <v>21</v>
      </c>
      <c r="C812" s="2">
        <v>4</v>
      </c>
      <c r="D812" s="11" t="str">
        <f t="shared" si="22"/>
        <v>UN</v>
      </c>
      <c r="E812" s="12">
        <v>7.8099999999999987</v>
      </c>
      <c r="F812" s="13">
        <v>0</v>
      </c>
      <c r="G812" s="14" t="s">
        <v>198</v>
      </c>
    </row>
    <row r="813" spans="1:7" x14ac:dyDescent="0.25">
      <c r="A813" s="34" t="str">
        <f>"PART NO.121 VALVULA DE GATILLO"</f>
        <v>PART NO.121 VALVULA DE GATILLO</v>
      </c>
      <c r="B813" s="2">
        <v>21</v>
      </c>
      <c r="C813" s="2">
        <v>19</v>
      </c>
      <c r="D813" s="11" t="str">
        <f t="shared" si="22"/>
        <v>UN</v>
      </c>
      <c r="E813" s="12">
        <v>35.268750000000004</v>
      </c>
      <c r="F813" s="13">
        <v>0</v>
      </c>
      <c r="G813" s="14" t="s">
        <v>198</v>
      </c>
    </row>
    <row r="814" spans="1:7" x14ac:dyDescent="0.25">
      <c r="A814" s="34" t="str">
        <f>"PART NO.304 BUSH"</f>
        <v>PART NO.304 BUSH</v>
      </c>
      <c r="B814" s="2">
        <v>21</v>
      </c>
      <c r="C814" s="2">
        <v>8</v>
      </c>
      <c r="D814" s="11" t="str">
        <f t="shared" si="22"/>
        <v>UN</v>
      </c>
      <c r="E814" s="12">
        <v>19.03</v>
      </c>
      <c r="F814" s="13">
        <v>0</v>
      </c>
      <c r="G814" s="14" t="s">
        <v>198</v>
      </c>
    </row>
    <row r="815" spans="1:7" x14ac:dyDescent="0.25">
      <c r="A815" s="34" t="str">
        <f>"PASADOR"</f>
        <v>PASADOR</v>
      </c>
      <c r="B815" s="2">
        <v>21</v>
      </c>
      <c r="C815" s="2">
        <v>29</v>
      </c>
      <c r="D815" s="11" t="str">
        <f t="shared" si="22"/>
        <v>UN</v>
      </c>
      <c r="E815" s="12">
        <v>53.831250000000026</v>
      </c>
      <c r="F815" s="13">
        <v>0</v>
      </c>
      <c r="G815" s="14" t="s">
        <v>198</v>
      </c>
    </row>
    <row r="816" spans="1:7" x14ac:dyDescent="0.25">
      <c r="A816" s="34" t="str">
        <f>"PASADOR"</f>
        <v>PASADOR</v>
      </c>
      <c r="B816" s="2">
        <v>21</v>
      </c>
      <c r="C816" s="2">
        <v>2</v>
      </c>
      <c r="D816" s="11" t="str">
        <f t="shared" si="22"/>
        <v>UN</v>
      </c>
      <c r="E816" s="12">
        <v>3.7125000000000004</v>
      </c>
      <c r="F816" s="13">
        <v>0</v>
      </c>
      <c r="G816" s="14" t="s">
        <v>198</v>
      </c>
    </row>
    <row r="817" spans="1:7" x14ac:dyDescent="0.25">
      <c r="A817" s="34" t="str">
        <f>"PASADOR"</f>
        <v>PASADOR</v>
      </c>
      <c r="B817" s="2">
        <v>21</v>
      </c>
      <c r="C817" s="2">
        <v>1</v>
      </c>
      <c r="D817" s="11" t="str">
        <f t="shared" si="22"/>
        <v>UN</v>
      </c>
      <c r="E817" s="12">
        <v>15.07</v>
      </c>
      <c r="F817" s="13">
        <v>0</v>
      </c>
      <c r="G817" s="14" t="s">
        <v>198</v>
      </c>
    </row>
    <row r="818" spans="1:7" x14ac:dyDescent="0.25">
      <c r="A818" s="34" t="str">
        <f>"PASADOR"</f>
        <v>PASADOR</v>
      </c>
      <c r="B818" s="2">
        <v>21</v>
      </c>
      <c r="C818" s="2">
        <v>6</v>
      </c>
      <c r="D818" s="11" t="str">
        <f t="shared" si="22"/>
        <v>UN</v>
      </c>
      <c r="E818" s="12">
        <v>114.83999999999999</v>
      </c>
      <c r="F818" s="13">
        <v>0</v>
      </c>
      <c r="G818" s="14" t="s">
        <v>198</v>
      </c>
    </row>
    <row r="819" spans="1:7" x14ac:dyDescent="0.25">
      <c r="A819" s="34" t="str">
        <f>"PASADOR"</f>
        <v>PASADOR</v>
      </c>
      <c r="B819" s="2">
        <v>21</v>
      </c>
      <c r="C819" s="2">
        <v>7</v>
      </c>
      <c r="D819" s="11" t="str">
        <f t="shared" si="22"/>
        <v>UN</v>
      </c>
      <c r="E819" s="12">
        <v>31.57</v>
      </c>
      <c r="F819" s="13">
        <v>0</v>
      </c>
      <c r="G819" s="14" t="s">
        <v>198</v>
      </c>
    </row>
    <row r="820" spans="1:7" x14ac:dyDescent="0.25">
      <c r="A820" s="34" t="str">
        <f>"PASADOR GATILLO SA MG30"</f>
        <v>PASADOR GATILLO SA MG30</v>
      </c>
      <c r="B820" s="2">
        <v>21</v>
      </c>
      <c r="C820" s="2">
        <v>10</v>
      </c>
      <c r="D820" s="11" t="str">
        <f t="shared" si="22"/>
        <v>UN</v>
      </c>
      <c r="E820" s="12">
        <v>32.312500000000007</v>
      </c>
      <c r="F820" s="13">
        <v>0</v>
      </c>
      <c r="G820" s="14" t="s">
        <v>198</v>
      </c>
    </row>
    <row r="821" spans="1:7" x14ac:dyDescent="0.25">
      <c r="A821" s="34" t="str">
        <f>"PASADOR TAPA-TAMBOR"</f>
        <v>PASADOR TAPA-TAMBOR</v>
      </c>
      <c r="B821" s="2">
        <v>21</v>
      </c>
      <c r="C821" s="2">
        <v>5</v>
      </c>
      <c r="D821" s="11" t="str">
        <f t="shared" si="22"/>
        <v>UN</v>
      </c>
      <c r="E821" s="12">
        <v>98.037499999999994</v>
      </c>
      <c r="F821" s="13">
        <v>0</v>
      </c>
      <c r="G821" s="14" t="s">
        <v>198</v>
      </c>
    </row>
    <row r="822" spans="1:7" x14ac:dyDescent="0.25">
      <c r="A822" s="34" t="str">
        <f>"PIEZA 2040 SERIE A Nº 11"</f>
        <v>PIEZA 2040 SERIE A Nº 11</v>
      </c>
      <c r="B822" s="2">
        <v>21</v>
      </c>
      <c r="C822" s="2">
        <v>1</v>
      </c>
      <c r="D822" s="11" t="str">
        <f t="shared" si="22"/>
        <v>UN</v>
      </c>
      <c r="E822" s="12">
        <v>28.682500000000001</v>
      </c>
      <c r="F822" s="13">
        <v>0</v>
      </c>
      <c r="G822" s="14" t="s">
        <v>198</v>
      </c>
    </row>
    <row r="823" spans="1:7" x14ac:dyDescent="0.25">
      <c r="A823" s="34" t="str">
        <f>"PIEZA 2100 SERIE B Nº 07"</f>
        <v>PIEZA 2100 SERIE B Nº 07</v>
      </c>
      <c r="B823" s="2">
        <v>21</v>
      </c>
      <c r="C823" s="2">
        <v>10</v>
      </c>
      <c r="D823" s="11" t="str">
        <f t="shared" si="22"/>
        <v>UN</v>
      </c>
      <c r="E823" s="12">
        <v>71.5</v>
      </c>
      <c r="F823" s="13">
        <v>0</v>
      </c>
      <c r="G823" s="14" t="s">
        <v>198</v>
      </c>
    </row>
    <row r="824" spans="1:7" x14ac:dyDescent="0.25">
      <c r="A824" s="34" t="str">
        <f>"PIEZA 2100 SERIE B Nº 11"</f>
        <v>PIEZA 2100 SERIE B Nº 11</v>
      </c>
      <c r="B824" s="2">
        <v>21</v>
      </c>
      <c r="C824" s="2">
        <v>4</v>
      </c>
      <c r="D824" s="11" t="str">
        <f t="shared" si="22"/>
        <v>UN</v>
      </c>
      <c r="E824" s="12">
        <v>4.6750000000000007</v>
      </c>
      <c r="F824" s="13">
        <v>0</v>
      </c>
      <c r="G824" s="14" t="s">
        <v>198</v>
      </c>
    </row>
    <row r="825" spans="1:7" x14ac:dyDescent="0.25">
      <c r="A825" s="34" t="str">
        <f>"PIEZA 2100 SERIE B Nº 12"</f>
        <v>PIEZA 2100 SERIE B Nº 12</v>
      </c>
      <c r="B825" s="2">
        <v>21</v>
      </c>
      <c r="C825" s="2">
        <v>4</v>
      </c>
      <c r="D825" s="11" t="str">
        <f t="shared" si="22"/>
        <v>UN</v>
      </c>
      <c r="E825" s="12">
        <v>4.6750000000000007</v>
      </c>
      <c r="F825" s="13">
        <v>0</v>
      </c>
      <c r="G825" s="14" t="s">
        <v>198</v>
      </c>
    </row>
    <row r="826" spans="1:7" x14ac:dyDescent="0.25">
      <c r="A826" s="34" t="str">
        <f>"PIEZA 2100 SERIE B Nº 14"</f>
        <v>PIEZA 2100 SERIE B Nº 14</v>
      </c>
      <c r="B826" s="2">
        <v>21</v>
      </c>
      <c r="C826" s="2">
        <v>8</v>
      </c>
      <c r="D826" s="11" t="str">
        <f t="shared" si="22"/>
        <v>UN</v>
      </c>
      <c r="E826" s="12">
        <v>14.850000000000003</v>
      </c>
      <c r="F826" s="13">
        <v>0</v>
      </c>
      <c r="G826" s="14" t="s">
        <v>198</v>
      </c>
    </row>
    <row r="827" spans="1:7" x14ac:dyDescent="0.25">
      <c r="A827" s="34" t="str">
        <f>"PIEZA 2100 SERIE B Nº 16"</f>
        <v>PIEZA 2100 SERIE B Nº 16</v>
      </c>
      <c r="B827" s="2">
        <v>21</v>
      </c>
      <c r="C827" s="2">
        <v>2</v>
      </c>
      <c r="D827" s="11" t="str">
        <f t="shared" si="22"/>
        <v>UN</v>
      </c>
      <c r="E827" s="12">
        <v>2.4750000000000005</v>
      </c>
      <c r="F827" s="13">
        <v>0</v>
      </c>
      <c r="G827" s="14" t="s">
        <v>198</v>
      </c>
    </row>
    <row r="828" spans="1:7" x14ac:dyDescent="0.25">
      <c r="A828" s="34" t="str">
        <f>"PIEZA 2100 SERIE C Nº 02"</f>
        <v>PIEZA 2100 SERIE C Nº 02</v>
      </c>
      <c r="B828" s="2">
        <v>21</v>
      </c>
      <c r="C828" s="2">
        <v>1</v>
      </c>
      <c r="D828" s="11" t="str">
        <f t="shared" si="22"/>
        <v>UN</v>
      </c>
      <c r="E828" s="12">
        <v>1.5125000000000002</v>
      </c>
      <c r="F828" s="13">
        <v>0</v>
      </c>
      <c r="G828" s="14" t="s">
        <v>198</v>
      </c>
    </row>
    <row r="829" spans="1:7" x14ac:dyDescent="0.25">
      <c r="A829" s="34" t="str">
        <f>"PIEZA 2100 SERIE D Nº 11"</f>
        <v>PIEZA 2100 SERIE D Nº 11</v>
      </c>
      <c r="B829" s="2">
        <v>21</v>
      </c>
      <c r="C829" s="2">
        <v>3</v>
      </c>
      <c r="D829" s="11" t="str">
        <f t="shared" si="22"/>
        <v>UN</v>
      </c>
      <c r="E829" s="12">
        <v>3.0937500000000009</v>
      </c>
      <c r="F829" s="13">
        <v>0</v>
      </c>
      <c r="G829" s="14" t="s">
        <v>198</v>
      </c>
    </row>
    <row r="830" spans="1:7" x14ac:dyDescent="0.25">
      <c r="A830" s="34" t="str">
        <f>"PIEZA 2100 SERIE D Nº 14"</f>
        <v>PIEZA 2100 SERIE D Nº 14</v>
      </c>
      <c r="B830" s="2">
        <v>21</v>
      </c>
      <c r="C830" s="2">
        <v>3</v>
      </c>
      <c r="D830" s="11" t="str">
        <f t="shared" si="22"/>
        <v>UN</v>
      </c>
      <c r="E830" s="12">
        <v>0</v>
      </c>
      <c r="F830" s="13">
        <v>0</v>
      </c>
      <c r="G830" s="14" t="s">
        <v>198</v>
      </c>
    </row>
    <row r="831" spans="1:7" x14ac:dyDescent="0.25">
      <c r="A831" s="34" t="str">
        <f>"PIEZA 2100 SERIE D Nº 18"</f>
        <v>PIEZA 2100 SERIE D Nº 18</v>
      </c>
      <c r="B831" s="2">
        <v>21</v>
      </c>
      <c r="C831" s="2">
        <v>11</v>
      </c>
      <c r="D831" s="11" t="str">
        <f t="shared" si="22"/>
        <v>UN</v>
      </c>
      <c r="E831" s="12">
        <v>0</v>
      </c>
      <c r="F831" s="13">
        <v>0</v>
      </c>
      <c r="G831" s="14" t="s">
        <v>198</v>
      </c>
    </row>
    <row r="832" spans="1:7" x14ac:dyDescent="0.25">
      <c r="A832" s="34" t="str">
        <f>"PIEZA 2100 SERIE D Nº 20"</f>
        <v>PIEZA 2100 SERIE D Nº 20</v>
      </c>
      <c r="B832" s="2">
        <v>21</v>
      </c>
      <c r="C832" s="2">
        <v>5</v>
      </c>
      <c r="D832" s="11" t="str">
        <f t="shared" si="22"/>
        <v>UN</v>
      </c>
      <c r="E832" s="12">
        <v>0</v>
      </c>
      <c r="F832" s="13">
        <v>0</v>
      </c>
      <c r="G832" s="14" t="s">
        <v>198</v>
      </c>
    </row>
    <row r="833" spans="1:7" x14ac:dyDescent="0.25">
      <c r="A833" s="34" t="str">
        <f>"PIEZA 2100 SERIE D Nº 21"</f>
        <v>PIEZA 2100 SERIE D Nº 21</v>
      </c>
      <c r="B833" s="2">
        <v>21</v>
      </c>
      <c r="C833" s="2">
        <v>5</v>
      </c>
      <c r="D833" s="11" t="str">
        <f t="shared" si="22"/>
        <v>UN</v>
      </c>
      <c r="E833" s="12">
        <v>0</v>
      </c>
      <c r="F833" s="13">
        <v>0</v>
      </c>
      <c r="G833" s="14" t="s">
        <v>198</v>
      </c>
    </row>
    <row r="834" spans="1:7" x14ac:dyDescent="0.25">
      <c r="A834" s="34" t="str">
        <f>"PIEZA 2100 SERIE D Nº 24"</f>
        <v>PIEZA 2100 SERIE D Nº 24</v>
      </c>
      <c r="B834" s="2">
        <v>21</v>
      </c>
      <c r="C834" s="2">
        <v>10</v>
      </c>
      <c r="D834" s="11" t="str">
        <f t="shared" si="22"/>
        <v>UN</v>
      </c>
      <c r="E834" s="12">
        <v>0</v>
      </c>
      <c r="F834" s="13">
        <v>0</v>
      </c>
      <c r="G834" s="14" t="s">
        <v>198</v>
      </c>
    </row>
    <row r="835" spans="1:7" x14ac:dyDescent="0.25">
      <c r="A835" s="34" t="str">
        <f>"PIEZA 2111 SERIE B Nº 01"</f>
        <v>PIEZA 2111 SERIE B Nº 01</v>
      </c>
      <c r="B835" s="2">
        <v>21</v>
      </c>
      <c r="C835" s="2">
        <v>2</v>
      </c>
      <c r="D835" s="11" t="str">
        <f t="shared" si="22"/>
        <v>UN</v>
      </c>
      <c r="E835" s="12">
        <v>6.8749999999999991</v>
      </c>
      <c r="F835" s="13">
        <v>0</v>
      </c>
      <c r="G835" s="14" t="s">
        <v>198</v>
      </c>
    </row>
    <row r="836" spans="1:7" x14ac:dyDescent="0.25">
      <c r="A836" s="34" t="str">
        <f>"PIEZA 2111 SERIE B Nº 12"</f>
        <v>PIEZA 2111 SERIE B Nº 12</v>
      </c>
      <c r="B836" s="2">
        <v>21</v>
      </c>
      <c r="C836" s="2">
        <v>3</v>
      </c>
      <c r="D836" s="11" t="str">
        <f t="shared" si="22"/>
        <v>UN</v>
      </c>
      <c r="E836" s="12">
        <v>48.675000000000018</v>
      </c>
      <c r="F836" s="13">
        <v>0</v>
      </c>
      <c r="G836" s="14" t="s">
        <v>198</v>
      </c>
    </row>
    <row r="837" spans="1:7" x14ac:dyDescent="0.25">
      <c r="A837" s="34" t="str">
        <f>"PIEZA 2111 SERIE B Nº 17"</f>
        <v>PIEZA 2111 SERIE B Nº 17</v>
      </c>
      <c r="B837" s="2">
        <v>21</v>
      </c>
      <c r="C837" s="2">
        <v>2</v>
      </c>
      <c r="D837" s="11" t="str">
        <f t="shared" si="22"/>
        <v>UN</v>
      </c>
      <c r="E837" s="12">
        <v>28.875000000000004</v>
      </c>
      <c r="F837" s="13">
        <v>0</v>
      </c>
      <c r="G837" s="14" t="s">
        <v>198</v>
      </c>
    </row>
    <row r="838" spans="1:7" x14ac:dyDescent="0.25">
      <c r="A838" s="34" t="str">
        <f>"PIEZA 2111 SERIE B Nº 28"</f>
        <v>PIEZA 2111 SERIE B Nº 28</v>
      </c>
      <c r="B838" s="2">
        <v>21</v>
      </c>
      <c r="C838" s="2">
        <v>3</v>
      </c>
      <c r="D838" s="11" t="str">
        <f t="shared" si="22"/>
        <v>UN</v>
      </c>
      <c r="E838" s="12">
        <v>10.725</v>
      </c>
      <c r="F838" s="13">
        <v>0</v>
      </c>
      <c r="G838" s="14" t="s">
        <v>198</v>
      </c>
    </row>
    <row r="839" spans="1:7" x14ac:dyDescent="0.25">
      <c r="A839" s="34" t="str">
        <f>"PIEZA 2163 SERIE A Nº 08"</f>
        <v>PIEZA 2163 SERIE A Nº 08</v>
      </c>
      <c r="B839" s="2">
        <v>21</v>
      </c>
      <c r="C839" s="2">
        <v>4</v>
      </c>
      <c r="D839" s="11" t="str">
        <f t="shared" si="22"/>
        <v>UN</v>
      </c>
      <c r="E839" s="12">
        <v>0</v>
      </c>
      <c r="F839" s="13">
        <v>0</v>
      </c>
      <c r="G839" s="14" t="s">
        <v>198</v>
      </c>
    </row>
    <row r="840" spans="1:7" x14ac:dyDescent="0.25">
      <c r="A840" s="34" t="str">
        <f>"PIEZA 2163 SERIE A Nº 10"</f>
        <v>PIEZA 2163 SERIE A Nº 10</v>
      </c>
      <c r="B840" s="2">
        <v>21</v>
      </c>
      <c r="C840" s="2">
        <v>2</v>
      </c>
      <c r="D840" s="11" t="str">
        <f t="shared" si="22"/>
        <v>UN</v>
      </c>
      <c r="E840" s="12">
        <v>109.45</v>
      </c>
      <c r="F840" s="13">
        <v>0</v>
      </c>
      <c r="G840" s="14" t="s">
        <v>198</v>
      </c>
    </row>
    <row r="841" spans="1:7" x14ac:dyDescent="0.25">
      <c r="A841" s="34" t="str">
        <f>"PIEZA 2163 SERIE A Nº 11"</f>
        <v>PIEZA 2163 SERIE A Nº 11</v>
      </c>
      <c r="B841" s="2">
        <v>21</v>
      </c>
      <c r="C841" s="2">
        <v>1</v>
      </c>
      <c r="D841" s="11" t="str">
        <f t="shared" si="22"/>
        <v>UN</v>
      </c>
      <c r="E841" s="12">
        <v>100.37500000000001</v>
      </c>
      <c r="F841" s="13">
        <v>0</v>
      </c>
      <c r="G841" s="14" t="s">
        <v>198</v>
      </c>
    </row>
    <row r="842" spans="1:7" x14ac:dyDescent="0.25">
      <c r="A842" s="34" t="str">
        <f>"PIEZA 2163 SERIE A Nº 16"</f>
        <v>PIEZA 2163 SERIE A Nº 16</v>
      </c>
      <c r="B842" s="2">
        <v>21</v>
      </c>
      <c r="C842" s="2">
        <v>15</v>
      </c>
      <c r="D842" s="11" t="str">
        <f t="shared" ref="D842:D905" si="23">"UN"</f>
        <v>UN</v>
      </c>
      <c r="E842" s="12">
        <v>51.562500000000007</v>
      </c>
      <c r="F842" s="13">
        <v>0</v>
      </c>
      <c r="G842" s="14" t="s">
        <v>198</v>
      </c>
    </row>
    <row r="843" spans="1:7" x14ac:dyDescent="0.25">
      <c r="A843" s="34" t="str">
        <f>"PIEZA 2163 SERIE A Nº 26"</f>
        <v>PIEZA 2163 SERIE A Nº 26</v>
      </c>
      <c r="B843" s="2">
        <v>21</v>
      </c>
      <c r="C843" s="2">
        <v>3</v>
      </c>
      <c r="D843" s="11" t="str">
        <f t="shared" si="23"/>
        <v>UN</v>
      </c>
      <c r="E843" s="12">
        <v>6.1875000000000018</v>
      </c>
      <c r="F843" s="13">
        <v>0</v>
      </c>
      <c r="G843" s="14" t="s">
        <v>198</v>
      </c>
    </row>
    <row r="844" spans="1:7" x14ac:dyDescent="0.25">
      <c r="A844" s="34" t="str">
        <f>"PIEZA 2163 SERIE A Nº 27"</f>
        <v>PIEZA 2163 SERIE A Nº 27</v>
      </c>
      <c r="B844" s="2">
        <v>21</v>
      </c>
      <c r="C844" s="2">
        <v>3</v>
      </c>
      <c r="D844" s="11" t="str">
        <f t="shared" si="23"/>
        <v>UN</v>
      </c>
      <c r="E844" s="12">
        <v>17.118750000000006</v>
      </c>
      <c r="F844" s="13">
        <v>0</v>
      </c>
      <c r="G844" s="14" t="s">
        <v>198</v>
      </c>
    </row>
    <row r="845" spans="1:7" x14ac:dyDescent="0.25">
      <c r="A845" s="34" t="str">
        <f>"PIEZA 2163 SERIE A Nº 28"</f>
        <v>PIEZA 2163 SERIE A Nº 28</v>
      </c>
      <c r="B845" s="2">
        <v>21</v>
      </c>
      <c r="C845" s="2">
        <v>10</v>
      </c>
      <c r="D845" s="11" t="str">
        <f t="shared" si="23"/>
        <v>UN</v>
      </c>
      <c r="E845" s="12">
        <v>20.625</v>
      </c>
      <c r="F845" s="13">
        <v>0</v>
      </c>
      <c r="G845" s="14" t="s">
        <v>198</v>
      </c>
    </row>
    <row r="846" spans="1:7" x14ac:dyDescent="0.25">
      <c r="A846" s="34" t="str">
        <f>"PIEZA 2163 SERIE A Nº 32"</f>
        <v>PIEZA 2163 SERIE A Nº 32</v>
      </c>
      <c r="B846" s="2">
        <v>21</v>
      </c>
      <c r="C846" s="2">
        <v>3</v>
      </c>
      <c r="D846" s="11" t="str">
        <f t="shared" si="23"/>
        <v>UN</v>
      </c>
      <c r="E846" s="12">
        <v>12.787500000000001</v>
      </c>
      <c r="F846" s="13">
        <v>0</v>
      </c>
      <c r="G846" s="14" t="s">
        <v>198</v>
      </c>
    </row>
    <row r="847" spans="1:7" x14ac:dyDescent="0.25">
      <c r="A847" s="34" t="str">
        <f>"PIEZA 2163 SERIE A Nº 33"</f>
        <v>PIEZA 2163 SERIE A Nº 33</v>
      </c>
      <c r="B847" s="2">
        <v>21</v>
      </c>
      <c r="C847" s="2">
        <v>3</v>
      </c>
      <c r="D847" s="11" t="str">
        <f t="shared" si="23"/>
        <v>UN</v>
      </c>
      <c r="E847" s="12">
        <v>11.137500000000005</v>
      </c>
      <c r="F847" s="13">
        <v>0</v>
      </c>
      <c r="G847" s="14" t="s">
        <v>198</v>
      </c>
    </row>
    <row r="848" spans="1:7" x14ac:dyDescent="0.25">
      <c r="A848" s="34" t="str">
        <f>"PIEZA 2200 SERIE A Nº 36"</f>
        <v>PIEZA 2200 SERIE A Nº 36</v>
      </c>
      <c r="B848" s="2">
        <v>21</v>
      </c>
      <c r="C848" s="2">
        <v>7</v>
      </c>
      <c r="D848" s="11" t="str">
        <f t="shared" si="23"/>
        <v>UN</v>
      </c>
      <c r="E848" s="12">
        <v>181.91249999999999</v>
      </c>
      <c r="F848" s="13">
        <v>0</v>
      </c>
      <c r="G848" s="14" t="s">
        <v>198</v>
      </c>
    </row>
    <row r="849" spans="1:7" x14ac:dyDescent="0.25">
      <c r="A849" s="34" t="str">
        <f>"PIEZA 2200 SERIE A Nº 38"</f>
        <v>PIEZA 2200 SERIE A Nº 38</v>
      </c>
      <c r="B849" s="2">
        <v>21</v>
      </c>
      <c r="C849" s="2">
        <v>6</v>
      </c>
      <c r="D849" s="11" t="str">
        <f t="shared" si="23"/>
        <v>UN</v>
      </c>
      <c r="E849" s="12">
        <v>22.357499999999995</v>
      </c>
      <c r="F849" s="13">
        <v>0</v>
      </c>
      <c r="G849" s="14" t="s">
        <v>198</v>
      </c>
    </row>
    <row r="850" spans="1:7" x14ac:dyDescent="0.25">
      <c r="A850" s="34" t="str">
        <f>"PIEZA 2200 SERIE B Nº 11"</f>
        <v>PIEZA 2200 SERIE B Nº 11</v>
      </c>
      <c r="B850" s="2">
        <v>21</v>
      </c>
      <c r="C850" s="2">
        <v>2</v>
      </c>
      <c r="D850" s="11" t="str">
        <f t="shared" si="23"/>
        <v>UN</v>
      </c>
      <c r="E850" s="12">
        <v>1.1824999999999999</v>
      </c>
      <c r="F850" s="13">
        <v>0</v>
      </c>
      <c r="G850" s="14" t="s">
        <v>198</v>
      </c>
    </row>
    <row r="851" spans="1:7" x14ac:dyDescent="0.25">
      <c r="A851" s="34" t="str">
        <f>"PIEZA 2200 SERIE C Nº 16"</f>
        <v>PIEZA 2200 SERIE C Nº 16</v>
      </c>
      <c r="B851" s="2">
        <v>21</v>
      </c>
      <c r="C851" s="2">
        <v>3</v>
      </c>
      <c r="D851" s="11" t="str">
        <f t="shared" si="23"/>
        <v>UN</v>
      </c>
      <c r="E851" s="12">
        <v>6.7237500000000008</v>
      </c>
      <c r="F851" s="13">
        <v>0</v>
      </c>
      <c r="G851" s="14" t="s">
        <v>198</v>
      </c>
    </row>
    <row r="852" spans="1:7" x14ac:dyDescent="0.25">
      <c r="A852" s="34" t="str">
        <f>"PIEZA 2200 SERIE C Nº 47"</f>
        <v>PIEZA 2200 SERIE C Nº 47</v>
      </c>
      <c r="B852" s="2">
        <v>21</v>
      </c>
      <c r="C852" s="2">
        <v>11</v>
      </c>
      <c r="D852" s="11" t="str">
        <f t="shared" si="23"/>
        <v>UN</v>
      </c>
      <c r="E852" s="12">
        <v>6.5037499999999993</v>
      </c>
      <c r="F852" s="13">
        <v>0</v>
      </c>
      <c r="G852" s="14" t="s">
        <v>198</v>
      </c>
    </row>
    <row r="853" spans="1:7" x14ac:dyDescent="0.25">
      <c r="A853" s="34" t="str">
        <f>"PIEZA 2200 SERIE C Nº 52"</f>
        <v>PIEZA 2200 SERIE C Nº 52</v>
      </c>
      <c r="B853" s="2">
        <v>21</v>
      </c>
      <c r="C853" s="2">
        <v>3</v>
      </c>
      <c r="D853" s="11" t="str">
        <f t="shared" si="23"/>
        <v>UN</v>
      </c>
      <c r="E853" s="12">
        <v>2.9287499999999995</v>
      </c>
      <c r="F853" s="13">
        <v>0</v>
      </c>
      <c r="G853" s="14" t="s">
        <v>198</v>
      </c>
    </row>
    <row r="854" spans="1:7" x14ac:dyDescent="0.25">
      <c r="A854" s="34" t="str">
        <f>"PIEZA 2200 SERIE D Nº 28"</f>
        <v>PIEZA 2200 SERIE D Nº 28</v>
      </c>
      <c r="B854" s="2">
        <v>21</v>
      </c>
      <c r="C854" s="2">
        <v>1</v>
      </c>
      <c r="D854" s="11" t="str">
        <f t="shared" si="23"/>
        <v>UN</v>
      </c>
      <c r="E854" s="12">
        <v>0.78374999999999995</v>
      </c>
      <c r="F854" s="13">
        <v>0</v>
      </c>
      <c r="G854" s="14" t="s">
        <v>198</v>
      </c>
    </row>
    <row r="855" spans="1:7" x14ac:dyDescent="0.25">
      <c r="A855" s="34" t="str">
        <f>"PIEZA 2200 SERIE D Nº 38"</f>
        <v>PIEZA 2200 SERIE D Nº 38</v>
      </c>
      <c r="B855" s="2">
        <v>21</v>
      </c>
      <c r="C855" s="2">
        <v>1</v>
      </c>
      <c r="D855" s="11" t="str">
        <f t="shared" si="23"/>
        <v>UN</v>
      </c>
      <c r="E855" s="12">
        <v>0</v>
      </c>
      <c r="F855" s="13">
        <v>0</v>
      </c>
      <c r="G855" s="14" t="s">
        <v>198</v>
      </c>
    </row>
    <row r="856" spans="1:7" x14ac:dyDescent="0.25">
      <c r="A856" s="34" t="str">
        <f>"PIEZA 2200 SERIE D Nº 40"</f>
        <v>PIEZA 2200 SERIE D Nº 40</v>
      </c>
      <c r="B856" s="2">
        <v>21</v>
      </c>
      <c r="C856" s="2">
        <v>5</v>
      </c>
      <c r="D856" s="11" t="str">
        <f t="shared" si="23"/>
        <v>UN</v>
      </c>
      <c r="E856" s="12">
        <v>5.9124999999999996</v>
      </c>
      <c r="F856" s="13">
        <v>0</v>
      </c>
      <c r="G856" s="14" t="s">
        <v>198</v>
      </c>
    </row>
    <row r="857" spans="1:7" x14ac:dyDescent="0.25">
      <c r="A857" s="34" t="str">
        <f>"PIEZA 2200 SERIE D Nº 42"</f>
        <v>PIEZA 2200 SERIE D Nº 42</v>
      </c>
      <c r="B857" s="2">
        <v>21</v>
      </c>
      <c r="C857" s="2">
        <v>1</v>
      </c>
      <c r="D857" s="11" t="str">
        <f t="shared" si="23"/>
        <v>UN</v>
      </c>
      <c r="E857" s="12">
        <v>1.7737500000000002</v>
      </c>
      <c r="F857" s="13">
        <v>0</v>
      </c>
      <c r="G857" s="14" t="s">
        <v>198</v>
      </c>
    </row>
    <row r="858" spans="1:7" x14ac:dyDescent="0.25">
      <c r="A858" s="34" t="str">
        <f>"PIEZA 2200 SERIE D Nº 48"</f>
        <v>PIEZA 2200 SERIE D Nº 48</v>
      </c>
      <c r="B858" s="2">
        <v>21</v>
      </c>
      <c r="C858" s="2">
        <v>1</v>
      </c>
      <c r="D858" s="11" t="str">
        <f t="shared" si="23"/>
        <v>UN</v>
      </c>
      <c r="E858" s="12">
        <v>1.4575000000000002</v>
      </c>
      <c r="F858" s="13">
        <v>0</v>
      </c>
      <c r="G858" s="14" t="s">
        <v>198</v>
      </c>
    </row>
    <row r="859" spans="1:7" x14ac:dyDescent="0.25">
      <c r="A859" s="34" t="str">
        <f>"PIEZA 2200 SERIE D Nº 51"</f>
        <v>PIEZA 2200 SERIE D Nº 51</v>
      </c>
      <c r="B859" s="2">
        <v>21</v>
      </c>
      <c r="C859" s="2">
        <v>1</v>
      </c>
      <c r="D859" s="11" t="str">
        <f t="shared" si="23"/>
        <v>UN</v>
      </c>
      <c r="E859" s="12">
        <v>1.9662500000000001</v>
      </c>
      <c r="F859" s="13">
        <v>0</v>
      </c>
      <c r="G859" s="14" t="s">
        <v>198</v>
      </c>
    </row>
    <row r="860" spans="1:7" x14ac:dyDescent="0.25">
      <c r="A860" s="34" t="str">
        <f>"PIEZA 2205 SERIE C Nº 08"</f>
        <v>PIEZA 2205 SERIE C Nº 08</v>
      </c>
      <c r="B860" s="2">
        <v>21</v>
      </c>
      <c r="C860" s="2">
        <v>22</v>
      </c>
      <c r="D860" s="11" t="str">
        <f t="shared" si="23"/>
        <v>UN</v>
      </c>
      <c r="E860" s="12">
        <v>24.200000000000003</v>
      </c>
      <c r="F860" s="13">
        <v>0</v>
      </c>
      <c r="G860" s="14" t="s">
        <v>198</v>
      </c>
    </row>
    <row r="861" spans="1:7" x14ac:dyDescent="0.25">
      <c r="A861" s="34" t="str">
        <f>"PIEZA 2205 SERIE C Nº 10"</f>
        <v>PIEZA 2205 SERIE C Nº 10</v>
      </c>
      <c r="B861" s="2">
        <v>21</v>
      </c>
      <c r="C861" s="2">
        <v>34</v>
      </c>
      <c r="D861" s="11" t="str">
        <f t="shared" si="23"/>
        <v>UN</v>
      </c>
      <c r="E861" s="12">
        <v>128.56250000000003</v>
      </c>
      <c r="F861" s="13">
        <v>0</v>
      </c>
      <c r="G861" s="14" t="s">
        <v>198</v>
      </c>
    </row>
    <row r="862" spans="1:7" x14ac:dyDescent="0.25">
      <c r="A862" s="34" t="str">
        <f>"PIEZA 2205 SERIE C Nº 24"</f>
        <v>PIEZA 2205 SERIE C Nº 24</v>
      </c>
      <c r="B862" s="2">
        <v>21</v>
      </c>
      <c r="C862" s="2">
        <v>20</v>
      </c>
      <c r="D862" s="11" t="str">
        <f t="shared" si="23"/>
        <v>UN</v>
      </c>
      <c r="E862" s="12">
        <v>324.5</v>
      </c>
      <c r="F862" s="13">
        <v>0</v>
      </c>
      <c r="G862" s="14" t="s">
        <v>198</v>
      </c>
    </row>
    <row r="863" spans="1:7" x14ac:dyDescent="0.25">
      <c r="A863" s="34" t="str">
        <f>"PIEZA 2205 SERIE C Nº 34"</f>
        <v>PIEZA 2205 SERIE C Nº 34</v>
      </c>
      <c r="B863" s="2">
        <v>21</v>
      </c>
      <c r="C863" s="2">
        <v>1</v>
      </c>
      <c r="D863" s="11" t="str">
        <f t="shared" si="23"/>
        <v>UN</v>
      </c>
      <c r="E863" s="12">
        <v>1.5125000000000002</v>
      </c>
      <c r="F863" s="13">
        <v>0</v>
      </c>
      <c r="G863" s="14" t="s">
        <v>198</v>
      </c>
    </row>
    <row r="864" spans="1:7" x14ac:dyDescent="0.25">
      <c r="A864" s="34" t="str">
        <f>"PIEZA 2205 SERIE C Nº 36"</f>
        <v>PIEZA 2205 SERIE C Nº 36</v>
      </c>
      <c r="B864" s="2">
        <v>21</v>
      </c>
      <c r="C864" s="2">
        <v>1</v>
      </c>
      <c r="D864" s="11" t="str">
        <f t="shared" si="23"/>
        <v>UN</v>
      </c>
      <c r="E864" s="12">
        <v>33.481250000000003</v>
      </c>
      <c r="F864" s="13">
        <v>0</v>
      </c>
      <c r="G864" s="14" t="s">
        <v>198</v>
      </c>
    </row>
    <row r="865" spans="1:7" x14ac:dyDescent="0.25">
      <c r="A865" s="34" t="str">
        <f>"PIEZA 2220 SERIE B Nº 04"</f>
        <v>PIEZA 2220 SERIE B Nº 04</v>
      </c>
      <c r="B865" s="2">
        <v>21</v>
      </c>
      <c r="C865" s="2">
        <v>1</v>
      </c>
      <c r="D865" s="11" t="str">
        <f t="shared" si="23"/>
        <v>UN</v>
      </c>
      <c r="E865" s="12">
        <v>35.282500000000006</v>
      </c>
      <c r="F865" s="13">
        <v>0</v>
      </c>
      <c r="G865" s="14" t="s">
        <v>198</v>
      </c>
    </row>
    <row r="866" spans="1:7" x14ac:dyDescent="0.25">
      <c r="A866" s="34" t="str">
        <f>"PIEZA 2220 SERIE B Nº 06"</f>
        <v>PIEZA 2220 SERIE B Nº 06</v>
      </c>
      <c r="B866" s="2">
        <v>21</v>
      </c>
      <c r="C866" s="2">
        <v>1</v>
      </c>
      <c r="D866" s="11" t="str">
        <f t="shared" si="23"/>
        <v>UN</v>
      </c>
      <c r="E866" s="12">
        <v>17.58625</v>
      </c>
      <c r="F866" s="13">
        <v>0</v>
      </c>
      <c r="G866" s="14" t="s">
        <v>198</v>
      </c>
    </row>
    <row r="867" spans="1:7" x14ac:dyDescent="0.25">
      <c r="A867" s="34" t="str">
        <f>"PIEZA 2220 SERIE B Nº 07"</f>
        <v>PIEZA 2220 SERIE B Nº 07</v>
      </c>
      <c r="B867" s="2">
        <v>21</v>
      </c>
      <c r="C867" s="2">
        <v>9</v>
      </c>
      <c r="D867" s="11" t="str">
        <f t="shared" si="23"/>
        <v>UN</v>
      </c>
      <c r="E867" s="12">
        <v>77.838750000000005</v>
      </c>
      <c r="F867" s="13">
        <v>0</v>
      </c>
      <c r="G867" s="14" t="s">
        <v>198</v>
      </c>
    </row>
    <row r="868" spans="1:7" x14ac:dyDescent="0.25">
      <c r="A868" s="34" t="str">
        <f>"PIEZA 2220 SERIE B Nº 09"</f>
        <v>PIEZA 2220 SERIE B Nº 09</v>
      </c>
      <c r="B868" s="2">
        <v>21</v>
      </c>
      <c r="C868" s="2">
        <v>13</v>
      </c>
      <c r="D868" s="11" t="str">
        <f t="shared" si="23"/>
        <v>UN</v>
      </c>
      <c r="E868" s="12">
        <v>12.691250000000002</v>
      </c>
      <c r="F868" s="13">
        <v>0</v>
      </c>
      <c r="G868" s="14" t="s">
        <v>198</v>
      </c>
    </row>
    <row r="869" spans="1:7" x14ac:dyDescent="0.25">
      <c r="A869" s="34" t="str">
        <f>"PIEZA 2220 SERIE B Nº 13"</f>
        <v>PIEZA 2220 SERIE B Nº 13</v>
      </c>
      <c r="B869" s="2">
        <v>21</v>
      </c>
      <c r="C869" s="2">
        <v>7</v>
      </c>
      <c r="D869" s="11" t="str">
        <f t="shared" si="23"/>
        <v>UN</v>
      </c>
      <c r="E869" s="12">
        <v>200.77750000000003</v>
      </c>
      <c r="F869" s="13">
        <v>0</v>
      </c>
      <c r="G869" s="14" t="s">
        <v>198</v>
      </c>
    </row>
    <row r="870" spans="1:7" x14ac:dyDescent="0.25">
      <c r="A870" s="34" t="str">
        <f>"PIEZA 2220 SERIE B Nº 15"</f>
        <v>PIEZA 2220 SERIE B Nº 15</v>
      </c>
      <c r="B870" s="2">
        <v>21</v>
      </c>
      <c r="C870" s="2">
        <v>12</v>
      </c>
      <c r="D870" s="11" t="str">
        <f t="shared" si="23"/>
        <v>UN</v>
      </c>
      <c r="E870" s="12">
        <v>124.90499999999999</v>
      </c>
      <c r="F870" s="13">
        <v>0</v>
      </c>
      <c r="G870" s="14" t="s">
        <v>198</v>
      </c>
    </row>
    <row r="871" spans="1:7" x14ac:dyDescent="0.25">
      <c r="A871" s="34" t="str">
        <f>"PIEZA 2220 SERIE B Nº 17"</f>
        <v>PIEZA 2220 SERIE B Nº 17</v>
      </c>
      <c r="B871" s="2">
        <v>21</v>
      </c>
      <c r="C871" s="2">
        <v>2</v>
      </c>
      <c r="D871" s="11" t="str">
        <f t="shared" si="23"/>
        <v>UN</v>
      </c>
      <c r="E871" s="12">
        <v>18.067500000000003</v>
      </c>
      <c r="F871" s="13">
        <v>0</v>
      </c>
      <c r="G871" s="14" t="s">
        <v>198</v>
      </c>
    </row>
    <row r="872" spans="1:7" x14ac:dyDescent="0.25">
      <c r="A872" s="34" t="str">
        <f>"PIEZA 2220 SERIE B Nº 18"</f>
        <v>PIEZA 2220 SERIE B Nº 18</v>
      </c>
      <c r="B872" s="2">
        <v>21</v>
      </c>
      <c r="C872" s="2">
        <v>1</v>
      </c>
      <c r="D872" s="11" t="str">
        <f t="shared" si="23"/>
        <v>UN</v>
      </c>
      <c r="E872" s="12">
        <v>23.567500000000003</v>
      </c>
      <c r="F872" s="13">
        <v>0</v>
      </c>
      <c r="G872" s="14" t="s">
        <v>198</v>
      </c>
    </row>
    <row r="873" spans="1:7" x14ac:dyDescent="0.25">
      <c r="A873" s="34" t="str">
        <f>"PIEZA 2220 SERIE B Nº 19"</f>
        <v>PIEZA 2220 SERIE B Nº 19</v>
      </c>
      <c r="B873" s="2">
        <v>21</v>
      </c>
      <c r="C873" s="2">
        <v>5</v>
      </c>
      <c r="D873" s="11" t="str">
        <f t="shared" si="23"/>
        <v>UN</v>
      </c>
      <c r="E873" s="12">
        <v>22.618749999999999</v>
      </c>
      <c r="F873" s="13">
        <v>0</v>
      </c>
      <c r="G873" s="14" t="s">
        <v>198</v>
      </c>
    </row>
    <row r="874" spans="1:7" x14ac:dyDescent="0.25">
      <c r="A874" s="34" t="str">
        <f>"PIEZA 2220 SERIE B Nº 21"</f>
        <v>PIEZA 2220 SERIE B Nº 21</v>
      </c>
      <c r="B874" s="2">
        <v>21</v>
      </c>
      <c r="C874" s="2">
        <v>28</v>
      </c>
      <c r="D874" s="11" t="str">
        <f t="shared" si="23"/>
        <v>UN</v>
      </c>
      <c r="E874" s="12">
        <v>27.335000000000001</v>
      </c>
      <c r="F874" s="13">
        <v>0</v>
      </c>
      <c r="G874" s="14" t="s">
        <v>198</v>
      </c>
    </row>
    <row r="875" spans="1:7" x14ac:dyDescent="0.25">
      <c r="A875" s="34" t="str">
        <f>"PIEZA 2220 SERIE B Nº 24"</f>
        <v>PIEZA 2220 SERIE B Nº 24</v>
      </c>
      <c r="B875" s="2">
        <v>21</v>
      </c>
      <c r="C875" s="2">
        <v>1</v>
      </c>
      <c r="D875" s="11" t="str">
        <f t="shared" si="23"/>
        <v>UN</v>
      </c>
      <c r="E875" s="12">
        <v>10.807500000000003</v>
      </c>
      <c r="F875" s="13">
        <v>0</v>
      </c>
      <c r="G875" s="14" t="s">
        <v>198</v>
      </c>
    </row>
    <row r="876" spans="1:7" x14ac:dyDescent="0.25">
      <c r="A876" s="34" t="str">
        <f>"PIEZA 2220 SERIE B Nº 26"</f>
        <v>PIEZA 2220 SERIE B Nº 26</v>
      </c>
      <c r="B876" s="2">
        <v>21</v>
      </c>
      <c r="C876" s="2">
        <v>9</v>
      </c>
      <c r="D876" s="11" t="str">
        <f t="shared" si="23"/>
        <v>UN</v>
      </c>
      <c r="E876" s="12">
        <v>7.05375</v>
      </c>
      <c r="F876" s="13">
        <v>0</v>
      </c>
      <c r="G876" s="14" t="s">
        <v>198</v>
      </c>
    </row>
    <row r="877" spans="1:7" x14ac:dyDescent="0.25">
      <c r="A877" s="34" t="str">
        <f>"PIEZA 2220 SERIE B Nº 27"</f>
        <v>PIEZA 2220 SERIE B Nº 27</v>
      </c>
      <c r="B877" s="2">
        <v>21</v>
      </c>
      <c r="C877" s="2">
        <v>7</v>
      </c>
      <c r="D877" s="11" t="str">
        <f t="shared" si="23"/>
        <v>UN</v>
      </c>
      <c r="E877" s="12">
        <v>12.416250000000002</v>
      </c>
      <c r="F877" s="13">
        <v>0</v>
      </c>
      <c r="G877" s="14" t="s">
        <v>198</v>
      </c>
    </row>
    <row r="878" spans="1:7" x14ac:dyDescent="0.25">
      <c r="A878" s="34" t="str">
        <f>"PIEZA 2220 SERIE B Nº 28"</f>
        <v>PIEZA 2220 SERIE B Nº 28</v>
      </c>
      <c r="B878" s="2">
        <v>21</v>
      </c>
      <c r="C878" s="2">
        <v>9</v>
      </c>
      <c r="D878" s="11" t="str">
        <f t="shared" si="23"/>
        <v>UN</v>
      </c>
      <c r="E878" s="12">
        <v>5.3212500000000018</v>
      </c>
      <c r="F878" s="13">
        <v>0</v>
      </c>
      <c r="G878" s="14" t="s">
        <v>198</v>
      </c>
    </row>
    <row r="879" spans="1:7" x14ac:dyDescent="0.25">
      <c r="A879" s="34" t="str">
        <f>"PIEZA 2220 SERIE B Nº 31"</f>
        <v>PIEZA 2220 SERIE B Nº 31</v>
      </c>
      <c r="B879" s="2">
        <v>21</v>
      </c>
      <c r="C879" s="2">
        <v>1</v>
      </c>
      <c r="D879" s="11" t="str">
        <f t="shared" si="23"/>
        <v>UN</v>
      </c>
      <c r="E879" s="12">
        <v>8.8550000000000004</v>
      </c>
      <c r="F879" s="13">
        <v>0</v>
      </c>
      <c r="G879" s="14" t="s">
        <v>198</v>
      </c>
    </row>
    <row r="880" spans="1:7" x14ac:dyDescent="0.25">
      <c r="A880" s="34" t="str">
        <f>"PIEZA 2220 SERIE B Nº 32"</f>
        <v>PIEZA 2220 SERIE B Nº 32</v>
      </c>
      <c r="B880" s="2">
        <v>21</v>
      </c>
      <c r="C880" s="2">
        <v>10</v>
      </c>
      <c r="D880" s="11" t="str">
        <f t="shared" si="23"/>
        <v>UN</v>
      </c>
      <c r="E880" s="12">
        <v>14.575000000000001</v>
      </c>
      <c r="F880" s="13">
        <v>0</v>
      </c>
      <c r="G880" s="14" t="s">
        <v>198</v>
      </c>
    </row>
    <row r="881" spans="1:7" x14ac:dyDescent="0.25">
      <c r="A881" s="34" t="str">
        <f>"PIEZA 2220 SERIE B Nº 33"</f>
        <v>PIEZA 2220 SERIE B Nº 33</v>
      </c>
      <c r="B881" s="2">
        <v>21</v>
      </c>
      <c r="C881" s="2">
        <v>2</v>
      </c>
      <c r="D881" s="11" t="str">
        <f t="shared" si="23"/>
        <v>UN</v>
      </c>
      <c r="E881" s="12">
        <v>1.5674999999999999</v>
      </c>
      <c r="F881" s="13">
        <v>0</v>
      </c>
      <c r="G881" s="14" t="s">
        <v>198</v>
      </c>
    </row>
    <row r="882" spans="1:7" x14ac:dyDescent="0.25">
      <c r="A882" s="34" t="str">
        <f>"PIEZA 2220 SERIE B Nº 37"</f>
        <v>PIEZA 2220 SERIE B Nº 37</v>
      </c>
      <c r="B882" s="2">
        <v>21</v>
      </c>
      <c r="C882" s="2">
        <v>1</v>
      </c>
      <c r="D882" s="11" t="str">
        <f t="shared" si="23"/>
        <v>UN</v>
      </c>
      <c r="E882" s="12">
        <v>1.9662500000000003</v>
      </c>
      <c r="F882" s="13">
        <v>0</v>
      </c>
      <c r="G882" s="14" t="s">
        <v>198</v>
      </c>
    </row>
    <row r="883" spans="1:7" x14ac:dyDescent="0.25">
      <c r="A883" s="34" t="str">
        <f>"PIEZA 2220 SERIE B Nº 40"</f>
        <v>PIEZA 2220 SERIE B Nº 40</v>
      </c>
      <c r="B883" s="2">
        <v>21</v>
      </c>
      <c r="C883" s="2">
        <v>1</v>
      </c>
      <c r="D883" s="11" t="str">
        <f t="shared" si="23"/>
        <v>UN</v>
      </c>
      <c r="E883" s="12">
        <v>15.4</v>
      </c>
      <c r="F883" s="13">
        <v>0</v>
      </c>
      <c r="G883" s="14" t="s">
        <v>198</v>
      </c>
    </row>
    <row r="884" spans="1:7" x14ac:dyDescent="0.25">
      <c r="A884" s="34" t="str">
        <f>"PIEZA 2220 SERIE B Nº 49"</f>
        <v>PIEZA 2220 SERIE B Nº 49</v>
      </c>
      <c r="B884" s="2">
        <v>21</v>
      </c>
      <c r="C884" s="2">
        <v>8</v>
      </c>
      <c r="D884" s="11" t="str">
        <f t="shared" si="23"/>
        <v>UN</v>
      </c>
      <c r="E884" s="12">
        <v>116.27000000000001</v>
      </c>
      <c r="F884" s="13">
        <v>0</v>
      </c>
      <c r="G884" s="14" t="s">
        <v>198</v>
      </c>
    </row>
    <row r="885" spans="1:7" x14ac:dyDescent="0.25">
      <c r="A885" s="34" t="str">
        <f>"PIEZA 2220 SERIE B&amp;F Nº 11"</f>
        <v>PIEZA 2220 SERIE B&amp;F Nº 11</v>
      </c>
      <c r="B885" s="2">
        <v>21</v>
      </c>
      <c r="C885" s="2">
        <v>2</v>
      </c>
      <c r="D885" s="11" t="str">
        <f t="shared" si="23"/>
        <v>UN</v>
      </c>
      <c r="E885" s="12">
        <v>7.4525000000000006</v>
      </c>
      <c r="F885" s="13">
        <v>0</v>
      </c>
      <c r="G885" s="14" t="s">
        <v>198</v>
      </c>
    </row>
    <row r="886" spans="1:7" x14ac:dyDescent="0.25">
      <c r="A886" s="34" t="str">
        <f>"PIEZA 2220 SERIE C Nº 02"</f>
        <v>PIEZA 2220 SERIE C Nº 02</v>
      </c>
      <c r="B886" s="2">
        <v>21</v>
      </c>
      <c r="C886" s="2">
        <v>2</v>
      </c>
      <c r="D886" s="11" t="str">
        <f t="shared" si="23"/>
        <v>UN</v>
      </c>
      <c r="E886" s="12">
        <v>1.1825000000000001</v>
      </c>
      <c r="F886" s="13">
        <v>0</v>
      </c>
      <c r="G886" s="14" t="s">
        <v>198</v>
      </c>
    </row>
    <row r="887" spans="1:7" x14ac:dyDescent="0.25">
      <c r="A887" s="34" t="str">
        <f>"PIEZA 2220 SERIE C Nº 05"</f>
        <v>PIEZA 2220 SERIE C Nº 05</v>
      </c>
      <c r="B887" s="2">
        <v>21</v>
      </c>
      <c r="C887" s="2">
        <v>7</v>
      </c>
      <c r="D887" s="11" t="str">
        <f t="shared" si="23"/>
        <v>UN</v>
      </c>
      <c r="E887" s="12">
        <v>14.533750000000001</v>
      </c>
      <c r="F887" s="13">
        <v>0</v>
      </c>
      <c r="G887" s="14" t="s">
        <v>198</v>
      </c>
    </row>
    <row r="888" spans="1:7" x14ac:dyDescent="0.25">
      <c r="A888" s="34" t="str">
        <f>"PIEZA 2220 SERIE C Nº 46"</f>
        <v>PIEZA 2220 SERIE C Nº 46</v>
      </c>
      <c r="B888" s="2">
        <v>21</v>
      </c>
      <c r="C888" s="2">
        <v>6</v>
      </c>
      <c r="D888" s="11" t="str">
        <f t="shared" si="23"/>
        <v>UN</v>
      </c>
      <c r="E888" s="12">
        <v>12.87</v>
      </c>
      <c r="F888" s="13">
        <v>0</v>
      </c>
      <c r="G888" s="14" t="s">
        <v>198</v>
      </c>
    </row>
    <row r="889" spans="1:7" x14ac:dyDescent="0.25">
      <c r="A889" s="34" t="str">
        <f>"PIEZA 2220 SERIE F Nº 47"</f>
        <v>PIEZA 2220 SERIE F Nº 47</v>
      </c>
      <c r="B889" s="2">
        <v>21</v>
      </c>
      <c r="C889" s="2">
        <v>1</v>
      </c>
      <c r="D889" s="11" t="str">
        <f t="shared" si="23"/>
        <v>UN</v>
      </c>
      <c r="E889" s="12">
        <v>1.925</v>
      </c>
      <c r="F889" s="13">
        <v>0</v>
      </c>
      <c r="G889" s="14" t="s">
        <v>198</v>
      </c>
    </row>
    <row r="890" spans="1:7" x14ac:dyDescent="0.25">
      <c r="A890" s="34" t="str">
        <f>"PIEZA 2220 SERIE F Nº 50"</f>
        <v>PIEZA 2220 SERIE F Nº 50</v>
      </c>
      <c r="B890" s="2">
        <v>21</v>
      </c>
      <c r="C890" s="2">
        <v>1</v>
      </c>
      <c r="D890" s="11" t="str">
        <f t="shared" si="23"/>
        <v>UN</v>
      </c>
      <c r="E890" s="12">
        <v>1.9662500000000003</v>
      </c>
      <c r="F890" s="13">
        <v>0</v>
      </c>
      <c r="G890" s="14" t="s">
        <v>198</v>
      </c>
    </row>
    <row r="891" spans="1:7" x14ac:dyDescent="0.25">
      <c r="A891" s="34" t="str">
        <f>"PIEZA 2225 SERIE C Nº 09"</f>
        <v>PIEZA 2225 SERIE C Nº 09</v>
      </c>
      <c r="B891" s="2">
        <v>21</v>
      </c>
      <c r="C891" s="2">
        <v>6</v>
      </c>
      <c r="D891" s="11" t="str">
        <f t="shared" si="23"/>
        <v>UN</v>
      </c>
      <c r="E891" s="12">
        <v>16.5</v>
      </c>
      <c r="F891" s="13">
        <v>0</v>
      </c>
      <c r="G891" s="14" t="s">
        <v>198</v>
      </c>
    </row>
    <row r="892" spans="1:7" x14ac:dyDescent="0.25">
      <c r="A892" s="34" t="str">
        <f>"PIEZA 2225 SERIE C Nº 11"</f>
        <v>PIEZA 2225 SERIE C Nº 11</v>
      </c>
      <c r="B892" s="2">
        <v>21</v>
      </c>
      <c r="C892" s="2">
        <v>8</v>
      </c>
      <c r="D892" s="11" t="str">
        <f t="shared" si="23"/>
        <v>UN</v>
      </c>
      <c r="E892" s="12">
        <v>480.15</v>
      </c>
      <c r="F892" s="13">
        <v>0</v>
      </c>
      <c r="G892" s="14" t="s">
        <v>198</v>
      </c>
    </row>
    <row r="893" spans="1:7" x14ac:dyDescent="0.25">
      <c r="A893" s="34" t="str">
        <f>"PIEZA 2225 SERIE C Nº 12"</f>
        <v>PIEZA 2225 SERIE C Nº 12</v>
      </c>
      <c r="B893" s="2">
        <v>21</v>
      </c>
      <c r="C893" s="2">
        <v>2</v>
      </c>
      <c r="D893" s="11" t="str">
        <f t="shared" si="23"/>
        <v>UN</v>
      </c>
      <c r="E893" s="12">
        <v>7.5625000000000009</v>
      </c>
      <c r="F893" s="13">
        <v>0</v>
      </c>
      <c r="G893" s="14" t="s">
        <v>198</v>
      </c>
    </row>
    <row r="894" spans="1:7" x14ac:dyDescent="0.25">
      <c r="A894" s="34" t="str">
        <f>"PIEZA 2225 SERIE C Nº 17-B"</f>
        <v>PIEZA 2225 SERIE C Nº 17-B</v>
      </c>
      <c r="B894" s="2">
        <v>21</v>
      </c>
      <c r="C894" s="2">
        <v>1</v>
      </c>
      <c r="D894" s="11" t="str">
        <f t="shared" si="23"/>
        <v>UN</v>
      </c>
      <c r="E894" s="12">
        <v>68.282499999999999</v>
      </c>
      <c r="F894" s="13">
        <v>0</v>
      </c>
      <c r="G894" s="14" t="s">
        <v>198</v>
      </c>
    </row>
    <row r="895" spans="1:7" x14ac:dyDescent="0.25">
      <c r="A895" s="34" t="str">
        <f>"PIEZA 2225 SERIE C Nº 20"</f>
        <v>PIEZA 2225 SERIE C Nº 20</v>
      </c>
      <c r="B895" s="2">
        <v>21</v>
      </c>
      <c r="C895" s="2">
        <v>2</v>
      </c>
      <c r="D895" s="11" t="str">
        <f t="shared" si="23"/>
        <v>UN</v>
      </c>
      <c r="E895" s="12">
        <v>30.112499999999994</v>
      </c>
      <c r="F895" s="13">
        <v>0</v>
      </c>
      <c r="G895" s="14" t="s">
        <v>198</v>
      </c>
    </row>
    <row r="896" spans="1:7" x14ac:dyDescent="0.25">
      <c r="A896" s="34" t="str">
        <f>"PIEZA 2225 SERIE C Nº 21"</f>
        <v>PIEZA 2225 SERIE C Nº 21</v>
      </c>
      <c r="B896" s="2">
        <v>21</v>
      </c>
      <c r="C896" s="2">
        <v>5</v>
      </c>
      <c r="D896" s="11" t="str">
        <f t="shared" si="23"/>
        <v>UN</v>
      </c>
      <c r="E896" s="12">
        <v>10.312500000000002</v>
      </c>
      <c r="F896" s="13">
        <v>0</v>
      </c>
      <c r="G896" s="14" t="s">
        <v>198</v>
      </c>
    </row>
    <row r="897" spans="1:7" x14ac:dyDescent="0.25">
      <c r="A897" s="34" t="str">
        <f>"PIEZA 2225 SERIE C Nº 22"</f>
        <v>PIEZA 2225 SERIE C Nº 22</v>
      </c>
      <c r="B897" s="2">
        <v>21</v>
      </c>
      <c r="C897" s="2">
        <v>3</v>
      </c>
      <c r="D897" s="11" t="str">
        <f t="shared" si="23"/>
        <v>UN</v>
      </c>
      <c r="E897" s="12">
        <v>8.8687500000000021</v>
      </c>
      <c r="F897" s="13">
        <v>0</v>
      </c>
      <c r="G897" s="14" t="s">
        <v>198</v>
      </c>
    </row>
    <row r="898" spans="1:7" x14ac:dyDescent="0.25">
      <c r="A898" s="34" t="str">
        <f>"PIEZA 2225 SERIE C Nº 23"</f>
        <v>PIEZA 2225 SERIE C Nº 23</v>
      </c>
      <c r="B898" s="2">
        <v>21</v>
      </c>
      <c r="C898" s="2">
        <v>1</v>
      </c>
      <c r="D898" s="11" t="str">
        <f t="shared" si="23"/>
        <v>UN</v>
      </c>
      <c r="E898" s="12">
        <v>19.387500000000003</v>
      </c>
      <c r="F898" s="13">
        <v>0</v>
      </c>
      <c r="G898" s="14" t="s">
        <v>198</v>
      </c>
    </row>
    <row r="899" spans="1:7" x14ac:dyDescent="0.25">
      <c r="A899" s="34" t="str">
        <f>"PIEZA 2225 SERIE C Nº 27"</f>
        <v>PIEZA 2225 SERIE C Nº 27</v>
      </c>
      <c r="B899" s="2">
        <v>21</v>
      </c>
      <c r="C899" s="2">
        <v>3</v>
      </c>
      <c r="D899" s="11" t="str">
        <f t="shared" si="23"/>
        <v>UN</v>
      </c>
      <c r="E899" s="12">
        <v>7.6312500000000023</v>
      </c>
      <c r="F899" s="13">
        <v>0</v>
      </c>
      <c r="G899" s="14" t="s">
        <v>198</v>
      </c>
    </row>
    <row r="900" spans="1:7" x14ac:dyDescent="0.25">
      <c r="A900" s="34" t="str">
        <f>"PIEZA 2225 SERIE C Nº 29"</f>
        <v>PIEZA 2225 SERIE C Nº 29</v>
      </c>
      <c r="B900" s="2">
        <v>21</v>
      </c>
      <c r="C900" s="2">
        <v>2</v>
      </c>
      <c r="D900" s="11" t="str">
        <f t="shared" si="23"/>
        <v>UN</v>
      </c>
      <c r="E900" s="12">
        <v>34.375</v>
      </c>
      <c r="F900" s="13">
        <v>0</v>
      </c>
      <c r="G900" s="14" t="s">
        <v>198</v>
      </c>
    </row>
    <row r="901" spans="1:7" x14ac:dyDescent="0.25">
      <c r="A901" s="34" t="str">
        <f>"PIEZA 2225 SERIE C Nº 31"</f>
        <v>PIEZA 2225 SERIE C Nº 31</v>
      </c>
      <c r="B901" s="2">
        <v>21</v>
      </c>
      <c r="C901" s="2">
        <v>2</v>
      </c>
      <c r="D901" s="11" t="str">
        <f t="shared" si="23"/>
        <v>UN</v>
      </c>
      <c r="E901" s="12">
        <v>5.0875000000000004</v>
      </c>
      <c r="F901" s="13">
        <v>0</v>
      </c>
      <c r="G901" s="14" t="s">
        <v>198</v>
      </c>
    </row>
    <row r="902" spans="1:7" x14ac:dyDescent="0.25">
      <c r="A902" s="34" t="str">
        <f>"PIEZA 2225 SERIE C Nº 44"</f>
        <v>PIEZA 2225 SERIE C Nº 44</v>
      </c>
      <c r="B902" s="2">
        <v>21</v>
      </c>
      <c r="C902" s="2">
        <v>7</v>
      </c>
      <c r="D902" s="11" t="str">
        <f t="shared" si="23"/>
        <v>UN</v>
      </c>
      <c r="E902" s="12">
        <v>26.468750000000004</v>
      </c>
      <c r="F902" s="13">
        <v>0</v>
      </c>
      <c r="G902" s="14" t="s">
        <v>198</v>
      </c>
    </row>
    <row r="903" spans="1:7" x14ac:dyDescent="0.25">
      <c r="A903" s="34" t="str">
        <f>"PIEZA 2225 SERIE C Nº 45"</f>
        <v>PIEZA 2225 SERIE C Nº 45</v>
      </c>
      <c r="B903" s="2">
        <v>21</v>
      </c>
      <c r="C903" s="2">
        <v>13</v>
      </c>
      <c r="D903" s="11" t="str">
        <f t="shared" si="23"/>
        <v>UN</v>
      </c>
      <c r="E903" s="12">
        <v>42.006250000000001</v>
      </c>
      <c r="F903" s="13">
        <v>0</v>
      </c>
      <c r="G903" s="14" t="s">
        <v>198</v>
      </c>
    </row>
    <row r="904" spans="1:7" x14ac:dyDescent="0.25">
      <c r="A904" s="34" t="str">
        <f>"PIEZA 2230 SERIE A Nº 33"</f>
        <v>PIEZA 2230 SERIE A Nº 33</v>
      </c>
      <c r="B904" s="2">
        <v>21</v>
      </c>
      <c r="C904" s="2">
        <v>3</v>
      </c>
      <c r="D904" s="11" t="str">
        <f t="shared" si="23"/>
        <v>UN</v>
      </c>
      <c r="E904" s="12">
        <v>23.3475</v>
      </c>
      <c r="F904" s="13">
        <v>0</v>
      </c>
      <c r="G904" s="14" t="s">
        <v>198</v>
      </c>
    </row>
    <row r="905" spans="1:7" x14ac:dyDescent="0.25">
      <c r="A905" s="34" t="str">
        <f>"PIEZA 2230 SERIE A Nº 46"</f>
        <v>PIEZA 2230 SERIE A Nº 46</v>
      </c>
      <c r="B905" s="2">
        <v>21</v>
      </c>
      <c r="C905" s="2">
        <v>6</v>
      </c>
      <c r="D905" s="11" t="str">
        <f t="shared" si="23"/>
        <v>UN</v>
      </c>
      <c r="E905" s="12">
        <v>22.0275</v>
      </c>
      <c r="F905" s="13">
        <v>0</v>
      </c>
      <c r="G905" s="14" t="s">
        <v>198</v>
      </c>
    </row>
    <row r="906" spans="1:7" x14ac:dyDescent="0.25">
      <c r="A906" s="34" t="str">
        <f>"PIEZA 2230 SERIE A Nº 47"</f>
        <v>PIEZA 2230 SERIE A Nº 47</v>
      </c>
      <c r="B906" s="2">
        <v>21</v>
      </c>
      <c r="C906" s="2">
        <v>8</v>
      </c>
      <c r="D906" s="11" t="str">
        <f t="shared" ref="D906:D969" si="24">"UN"</f>
        <v>UN</v>
      </c>
      <c r="E906" s="12">
        <v>7.2600000000000007</v>
      </c>
      <c r="F906" s="13">
        <v>0</v>
      </c>
      <c r="G906" s="14" t="s">
        <v>198</v>
      </c>
    </row>
    <row r="907" spans="1:7" x14ac:dyDescent="0.25">
      <c r="A907" s="34" t="str">
        <f>"PIEZA 2230 SERIE A Nº 48"</f>
        <v>PIEZA 2230 SERIE A Nº 48</v>
      </c>
      <c r="B907" s="2">
        <v>21</v>
      </c>
      <c r="C907" s="2">
        <v>7</v>
      </c>
      <c r="D907" s="11" t="str">
        <f t="shared" si="24"/>
        <v>UN</v>
      </c>
      <c r="E907" s="12">
        <v>25.698750000000004</v>
      </c>
      <c r="F907" s="13">
        <v>0</v>
      </c>
      <c r="G907" s="14" t="s">
        <v>198</v>
      </c>
    </row>
    <row r="908" spans="1:7" x14ac:dyDescent="0.25">
      <c r="A908" s="34" t="str">
        <f>"PIEZA 2230 SERIE A Nº 50"</f>
        <v>PIEZA 2230 SERIE A Nº 50</v>
      </c>
      <c r="B908" s="2">
        <v>21</v>
      </c>
      <c r="C908" s="2">
        <v>6</v>
      </c>
      <c r="D908" s="11" t="str">
        <f t="shared" si="24"/>
        <v>UN</v>
      </c>
      <c r="E908" s="12">
        <v>5.4449999999999994</v>
      </c>
      <c r="F908" s="13">
        <v>0</v>
      </c>
      <c r="G908" s="14" t="s">
        <v>198</v>
      </c>
    </row>
    <row r="909" spans="1:7" x14ac:dyDescent="0.25">
      <c r="A909" s="34" t="str">
        <f>"PIEZA 2230 SERIE A Nº 51"</f>
        <v>PIEZA 2230 SERIE A Nº 51</v>
      </c>
      <c r="B909" s="2">
        <v>21</v>
      </c>
      <c r="C909" s="2">
        <v>3</v>
      </c>
      <c r="D909" s="11" t="str">
        <f t="shared" si="24"/>
        <v>UN</v>
      </c>
      <c r="E909" s="12">
        <v>73.75500000000001</v>
      </c>
      <c r="F909" s="13">
        <v>0</v>
      </c>
      <c r="G909" s="14" t="s">
        <v>198</v>
      </c>
    </row>
    <row r="910" spans="1:7" x14ac:dyDescent="0.25">
      <c r="A910" s="34" t="str">
        <f>"PIEZA 2230 SERIE A Nº 53"</f>
        <v>PIEZA 2230 SERIE A Nº 53</v>
      </c>
      <c r="B910" s="2">
        <v>21</v>
      </c>
      <c r="C910" s="2">
        <v>3</v>
      </c>
      <c r="D910" s="11" t="str">
        <f t="shared" si="24"/>
        <v>UN</v>
      </c>
      <c r="E910" s="12">
        <v>9.5287500000000005</v>
      </c>
      <c r="F910" s="13">
        <v>0</v>
      </c>
      <c r="G910" s="14" t="s">
        <v>198</v>
      </c>
    </row>
    <row r="911" spans="1:7" x14ac:dyDescent="0.25">
      <c r="A911" s="34" t="str">
        <f>"PIEZA 2232 SERIE A Nº 14"</f>
        <v>PIEZA 2232 SERIE A Nº 14</v>
      </c>
      <c r="B911" s="2">
        <v>21</v>
      </c>
      <c r="C911" s="2">
        <v>10</v>
      </c>
      <c r="D911" s="11" t="str">
        <f t="shared" si="24"/>
        <v>UN</v>
      </c>
      <c r="E911" s="12">
        <v>326.0125000000001</v>
      </c>
      <c r="F911" s="13">
        <v>0</v>
      </c>
      <c r="G911" s="14" t="s">
        <v>198</v>
      </c>
    </row>
    <row r="912" spans="1:7" x14ac:dyDescent="0.25">
      <c r="A912" s="34" t="str">
        <f>"PIEZA 2232 SERIE A Nº 15"</f>
        <v>PIEZA 2232 SERIE A Nº 15</v>
      </c>
      <c r="B912" s="2">
        <v>21</v>
      </c>
      <c r="C912" s="2">
        <v>2</v>
      </c>
      <c r="D912" s="11" t="str">
        <f t="shared" si="24"/>
        <v>UN</v>
      </c>
      <c r="E912" s="12">
        <v>18.865000000000006</v>
      </c>
      <c r="F912" s="13">
        <v>0</v>
      </c>
      <c r="G912" s="14" t="s">
        <v>198</v>
      </c>
    </row>
    <row r="913" spans="1:7" x14ac:dyDescent="0.25">
      <c r="A913" s="34" t="str">
        <f>"PIEZA 2245 SERIE A Nº 29"</f>
        <v>PIEZA 2245 SERIE A Nº 29</v>
      </c>
      <c r="B913" s="2">
        <v>21</v>
      </c>
      <c r="C913" s="2">
        <v>3</v>
      </c>
      <c r="D913" s="11" t="str">
        <f t="shared" si="24"/>
        <v>UN</v>
      </c>
      <c r="E913" s="12">
        <v>8.6625000000000014</v>
      </c>
      <c r="F913" s="13">
        <v>0</v>
      </c>
      <c r="G913" s="14" t="s">
        <v>198</v>
      </c>
    </row>
    <row r="914" spans="1:7" x14ac:dyDescent="0.25">
      <c r="A914" s="34" t="str">
        <f>"PIEZA 2250 SERIE A Nº 01"</f>
        <v>PIEZA 2250 SERIE A Nº 01</v>
      </c>
      <c r="B914" s="2">
        <v>21</v>
      </c>
      <c r="C914" s="2">
        <v>5</v>
      </c>
      <c r="D914" s="11" t="str">
        <f t="shared" si="24"/>
        <v>UN</v>
      </c>
      <c r="E914" s="12">
        <v>68.543750000000003</v>
      </c>
      <c r="F914" s="13">
        <v>0</v>
      </c>
      <c r="G914" s="14" t="s">
        <v>198</v>
      </c>
    </row>
    <row r="915" spans="1:7" x14ac:dyDescent="0.25">
      <c r="A915" s="34" t="str">
        <f>"PIEZA 2250 SERIE A Nº 02"</f>
        <v>PIEZA 2250 SERIE A Nº 02</v>
      </c>
      <c r="B915" s="2">
        <v>21</v>
      </c>
      <c r="C915" s="2">
        <v>21</v>
      </c>
      <c r="D915" s="11" t="str">
        <f t="shared" si="24"/>
        <v>UN</v>
      </c>
      <c r="E915" s="12">
        <v>165.74250000000001</v>
      </c>
      <c r="F915" s="13">
        <v>0</v>
      </c>
      <c r="G915" s="14" t="s">
        <v>198</v>
      </c>
    </row>
    <row r="916" spans="1:7" x14ac:dyDescent="0.25">
      <c r="A916" s="34" t="str">
        <f>"PIEZA 2250 SERIE A Nº 06"</f>
        <v>PIEZA 2250 SERIE A Nº 06</v>
      </c>
      <c r="B916" s="2">
        <v>21</v>
      </c>
      <c r="C916" s="2">
        <v>11</v>
      </c>
      <c r="D916" s="11" t="str">
        <f t="shared" si="24"/>
        <v>UN</v>
      </c>
      <c r="E916" s="12">
        <v>58.685000000000002</v>
      </c>
      <c r="F916" s="13">
        <v>0</v>
      </c>
      <c r="G916" s="14" t="s">
        <v>198</v>
      </c>
    </row>
    <row r="917" spans="1:7" x14ac:dyDescent="0.25">
      <c r="A917" s="34" t="str">
        <f>"PIEZA 2250 SERIE A Nº 07"</f>
        <v>PIEZA 2250 SERIE A Nº 07</v>
      </c>
      <c r="B917" s="2">
        <v>21</v>
      </c>
      <c r="C917" s="2">
        <v>1</v>
      </c>
      <c r="D917" s="11" t="str">
        <f t="shared" si="24"/>
        <v>UN</v>
      </c>
      <c r="E917" s="12">
        <v>6.5725000000000016</v>
      </c>
      <c r="F917" s="13">
        <v>0</v>
      </c>
      <c r="G917" s="14" t="s">
        <v>198</v>
      </c>
    </row>
    <row r="918" spans="1:7" x14ac:dyDescent="0.25">
      <c r="A918" s="34" t="str">
        <f>"PIEZA 2250 SERIE A Nº 08"</f>
        <v>PIEZA 2250 SERIE A Nº 08</v>
      </c>
      <c r="B918" s="2">
        <v>21</v>
      </c>
      <c r="C918" s="2">
        <v>11</v>
      </c>
      <c r="D918" s="11" t="str">
        <f t="shared" si="24"/>
        <v>UN</v>
      </c>
      <c r="E918" s="12">
        <v>57.323750000000004</v>
      </c>
      <c r="F918" s="13">
        <v>0</v>
      </c>
      <c r="G918" s="14" t="s">
        <v>198</v>
      </c>
    </row>
    <row r="919" spans="1:7" x14ac:dyDescent="0.25">
      <c r="A919" s="34" t="str">
        <f>"PIEZA 2250 SERIE A Nº 09"</f>
        <v>PIEZA 2250 SERIE A Nº 09</v>
      </c>
      <c r="B919" s="2">
        <v>21</v>
      </c>
      <c r="C919" s="2">
        <v>8</v>
      </c>
      <c r="D919" s="11" t="str">
        <f t="shared" si="24"/>
        <v>UN</v>
      </c>
      <c r="E919" s="12">
        <v>161.26</v>
      </c>
      <c r="F919" s="13">
        <v>0</v>
      </c>
      <c r="G919" s="14" t="s">
        <v>198</v>
      </c>
    </row>
    <row r="920" spans="1:7" x14ac:dyDescent="0.25">
      <c r="A920" s="34" t="str">
        <f>"PIEZA 2250 SERIE A Nº 13"</f>
        <v>PIEZA 2250 SERIE A Nº 13</v>
      </c>
      <c r="B920" s="2">
        <v>21</v>
      </c>
      <c r="C920" s="2">
        <v>12</v>
      </c>
      <c r="D920" s="11" t="str">
        <f t="shared" si="24"/>
        <v>UN</v>
      </c>
      <c r="E920" s="12">
        <v>58.739999999999995</v>
      </c>
      <c r="F920" s="13">
        <v>0</v>
      </c>
      <c r="G920" s="14" t="s">
        <v>198</v>
      </c>
    </row>
    <row r="921" spans="1:7" x14ac:dyDescent="0.25">
      <c r="A921" s="34" t="str">
        <f>"PIEZA 2250 SERIE A Nº 14"</f>
        <v>PIEZA 2250 SERIE A Nº 14</v>
      </c>
      <c r="B921" s="2">
        <v>21</v>
      </c>
      <c r="C921" s="2">
        <v>11</v>
      </c>
      <c r="D921" s="11" t="str">
        <f t="shared" si="24"/>
        <v>UN</v>
      </c>
      <c r="E921" s="12">
        <v>15.881250000000001</v>
      </c>
      <c r="F921" s="13">
        <v>0</v>
      </c>
      <c r="G921" s="14" t="s">
        <v>198</v>
      </c>
    </row>
    <row r="922" spans="1:7" x14ac:dyDescent="0.25">
      <c r="A922" s="34" t="str">
        <f>"PIEZA 2250 SERIE A Nº 15"</f>
        <v>PIEZA 2250 SERIE A Nº 15</v>
      </c>
      <c r="B922" s="2">
        <v>21</v>
      </c>
      <c r="C922" s="2">
        <v>2</v>
      </c>
      <c r="D922" s="11" t="str">
        <f t="shared" si="24"/>
        <v>UN</v>
      </c>
      <c r="E922" s="12">
        <v>1.0175000000000001</v>
      </c>
      <c r="F922" s="13">
        <v>0</v>
      </c>
      <c r="G922" s="14" t="s">
        <v>198</v>
      </c>
    </row>
    <row r="923" spans="1:7" x14ac:dyDescent="0.25">
      <c r="A923" s="34" t="str">
        <f>"PIEZA 2250 SERIE A Nº 16"</f>
        <v>PIEZA 2250 SERIE A Nº 16</v>
      </c>
      <c r="B923" s="2">
        <v>21</v>
      </c>
      <c r="C923" s="2">
        <v>12</v>
      </c>
      <c r="D923" s="11" t="str">
        <f t="shared" si="24"/>
        <v>UN</v>
      </c>
      <c r="E923" s="12">
        <v>11.055000000000001</v>
      </c>
      <c r="F923" s="13">
        <v>0</v>
      </c>
      <c r="G923" s="14" t="s">
        <v>198</v>
      </c>
    </row>
    <row r="924" spans="1:7" x14ac:dyDescent="0.25">
      <c r="A924" s="34" t="str">
        <f>"PIEZA 2250 SERIE A Nº 18"</f>
        <v>PIEZA 2250 SERIE A Nº 18</v>
      </c>
      <c r="B924" s="2">
        <v>21</v>
      </c>
      <c r="C924" s="2">
        <v>5</v>
      </c>
      <c r="D924" s="11" t="str">
        <f t="shared" si="24"/>
        <v>UN</v>
      </c>
      <c r="E924" s="12">
        <v>14.437500000000002</v>
      </c>
      <c r="F924" s="13">
        <v>0</v>
      </c>
      <c r="G924" s="14" t="s">
        <v>198</v>
      </c>
    </row>
    <row r="925" spans="1:7" x14ac:dyDescent="0.25">
      <c r="A925" s="34" t="str">
        <f>"PIEZA 2250 SERIE A Nº 19"</f>
        <v>PIEZA 2250 SERIE A Nº 19</v>
      </c>
      <c r="B925" s="2">
        <v>21</v>
      </c>
      <c r="C925" s="2">
        <v>26</v>
      </c>
      <c r="D925" s="11" t="str">
        <f t="shared" si="24"/>
        <v>UN</v>
      </c>
      <c r="E925" s="12">
        <v>34.32</v>
      </c>
      <c r="F925" s="13">
        <v>0</v>
      </c>
      <c r="G925" s="14" t="s">
        <v>198</v>
      </c>
    </row>
    <row r="926" spans="1:7" x14ac:dyDescent="0.25">
      <c r="A926" s="34" t="str">
        <f>"PIEZA 2250 SERIE A Nº 20"</f>
        <v>PIEZA 2250 SERIE A Nº 20</v>
      </c>
      <c r="B926" s="2">
        <v>21</v>
      </c>
      <c r="C926" s="2">
        <v>1</v>
      </c>
      <c r="D926" s="11" t="str">
        <f t="shared" si="24"/>
        <v>UN</v>
      </c>
      <c r="E926" s="12">
        <v>4.0424999999999995</v>
      </c>
      <c r="F926" s="13">
        <v>0</v>
      </c>
      <c r="G926" s="14" t="s">
        <v>198</v>
      </c>
    </row>
    <row r="927" spans="1:7" x14ac:dyDescent="0.25">
      <c r="A927" s="34" t="str">
        <f>"PIEZA 2250 SERIE A Nº 21"</f>
        <v>PIEZA 2250 SERIE A Nº 21</v>
      </c>
      <c r="B927" s="2">
        <v>21</v>
      </c>
      <c r="C927" s="2">
        <v>9</v>
      </c>
      <c r="D927" s="11" t="str">
        <f t="shared" si="24"/>
        <v>UN</v>
      </c>
      <c r="E927" s="12">
        <v>11.6325</v>
      </c>
      <c r="F927" s="13">
        <v>0</v>
      </c>
      <c r="G927" s="14" t="s">
        <v>198</v>
      </c>
    </row>
    <row r="928" spans="1:7" x14ac:dyDescent="0.25">
      <c r="A928" s="34" t="str">
        <f>"PIEZA 2250 SERIE A Nº 22"</f>
        <v>PIEZA 2250 SERIE A Nº 22</v>
      </c>
      <c r="B928" s="2">
        <v>21</v>
      </c>
      <c r="C928" s="2">
        <v>120</v>
      </c>
      <c r="D928" s="11" t="str">
        <f t="shared" si="24"/>
        <v>UN</v>
      </c>
      <c r="E928" s="12">
        <v>947.10000000000025</v>
      </c>
      <c r="F928" s="13">
        <v>0</v>
      </c>
      <c r="G928" s="14" t="s">
        <v>198</v>
      </c>
    </row>
    <row r="929" spans="1:7" x14ac:dyDescent="0.25">
      <c r="A929" s="34" t="str">
        <f>"PIEZA 2250 SERIE A Nº 23"</f>
        <v>PIEZA 2250 SERIE A Nº 23</v>
      </c>
      <c r="B929" s="2">
        <v>21</v>
      </c>
      <c r="C929" s="2">
        <v>8</v>
      </c>
      <c r="D929" s="11" t="str">
        <f t="shared" si="24"/>
        <v>UN</v>
      </c>
      <c r="E929" s="12">
        <v>318.34000000000009</v>
      </c>
      <c r="F929" s="13">
        <v>0</v>
      </c>
      <c r="G929" s="14" t="s">
        <v>198</v>
      </c>
    </row>
    <row r="930" spans="1:7" x14ac:dyDescent="0.25">
      <c r="A930" s="34" t="str">
        <f>"PIEZA 2250 SERIE A Nº 24"</f>
        <v>PIEZA 2250 SERIE A Nº 24</v>
      </c>
      <c r="B930" s="2">
        <v>21</v>
      </c>
      <c r="C930" s="2">
        <v>2</v>
      </c>
      <c r="D930" s="11" t="str">
        <f t="shared" si="24"/>
        <v>UN</v>
      </c>
      <c r="E930" s="12">
        <v>83.407499999999999</v>
      </c>
      <c r="F930" s="13">
        <v>0</v>
      </c>
      <c r="G930" s="14" t="s">
        <v>198</v>
      </c>
    </row>
    <row r="931" spans="1:7" x14ac:dyDescent="0.25">
      <c r="A931" s="34" t="str">
        <f>"PIEZA 2250 SERIE A Nº 26"</f>
        <v>PIEZA 2250 SERIE A Nº 26</v>
      </c>
      <c r="B931" s="2">
        <v>21</v>
      </c>
      <c r="C931" s="2">
        <v>2</v>
      </c>
      <c r="D931" s="11" t="str">
        <f t="shared" si="24"/>
        <v>UN</v>
      </c>
      <c r="E931" s="12">
        <v>4.4000000000000012</v>
      </c>
      <c r="F931" s="13">
        <v>0</v>
      </c>
      <c r="G931" s="14" t="s">
        <v>198</v>
      </c>
    </row>
    <row r="932" spans="1:7" x14ac:dyDescent="0.25">
      <c r="A932" s="34" t="str">
        <f>"PIEZA 2250 SERIE A Nº 27"</f>
        <v>PIEZA 2250 SERIE A Nº 27</v>
      </c>
      <c r="B932" s="2">
        <v>21</v>
      </c>
      <c r="C932" s="2">
        <v>8</v>
      </c>
      <c r="D932" s="11" t="str">
        <f t="shared" si="24"/>
        <v>UN</v>
      </c>
      <c r="E932" s="12">
        <v>297.33000000000004</v>
      </c>
      <c r="F932" s="13">
        <v>0</v>
      </c>
      <c r="G932" s="14" t="s">
        <v>198</v>
      </c>
    </row>
    <row r="933" spans="1:7" x14ac:dyDescent="0.25">
      <c r="A933" s="34" t="str">
        <f>"PIEZA 2250 SERIE A Nº 28"</f>
        <v>PIEZA 2250 SERIE A Nº 28</v>
      </c>
      <c r="B933" s="2">
        <v>21</v>
      </c>
      <c r="C933" s="2">
        <v>7</v>
      </c>
      <c r="D933" s="11" t="str">
        <f t="shared" si="24"/>
        <v>UN</v>
      </c>
      <c r="E933" s="12">
        <v>18.768750000000001</v>
      </c>
      <c r="F933" s="13">
        <v>0</v>
      </c>
      <c r="G933" s="14" t="s">
        <v>198</v>
      </c>
    </row>
    <row r="934" spans="1:7" x14ac:dyDescent="0.25">
      <c r="A934" s="34" t="str">
        <f>"PIEZA 2250 SERIE A Nº 29"</f>
        <v>PIEZA 2250 SERIE A Nº 29</v>
      </c>
      <c r="B934" s="2">
        <v>21</v>
      </c>
      <c r="C934" s="2">
        <v>5</v>
      </c>
      <c r="D934" s="11" t="str">
        <f t="shared" si="24"/>
        <v>UN</v>
      </c>
      <c r="E934" s="12">
        <v>88</v>
      </c>
      <c r="F934" s="13">
        <v>0</v>
      </c>
      <c r="G934" s="14" t="s">
        <v>198</v>
      </c>
    </row>
    <row r="935" spans="1:7" x14ac:dyDescent="0.25">
      <c r="A935" s="34" t="str">
        <f>"PIEZA 2250 SERIE A Nº 31"</f>
        <v>PIEZA 2250 SERIE A Nº 31</v>
      </c>
      <c r="B935" s="2">
        <v>21</v>
      </c>
      <c r="C935" s="2">
        <v>7</v>
      </c>
      <c r="D935" s="11" t="str">
        <f t="shared" si="24"/>
        <v>UN</v>
      </c>
      <c r="E935" s="12">
        <v>27.431250000000002</v>
      </c>
      <c r="F935" s="13">
        <v>0</v>
      </c>
      <c r="G935" s="14" t="s">
        <v>198</v>
      </c>
    </row>
    <row r="936" spans="1:7" x14ac:dyDescent="0.25">
      <c r="A936" s="34" t="str">
        <f>"PIEZA 2250 SERIE A Nº 32"</f>
        <v>PIEZA 2250 SERIE A Nº 32</v>
      </c>
      <c r="B936" s="2">
        <v>21</v>
      </c>
      <c r="C936" s="2">
        <v>3</v>
      </c>
      <c r="D936" s="11" t="str">
        <f t="shared" si="24"/>
        <v>UN</v>
      </c>
      <c r="E936" s="12">
        <v>222.9975</v>
      </c>
      <c r="F936" s="13">
        <v>0</v>
      </c>
      <c r="G936" s="14" t="s">
        <v>198</v>
      </c>
    </row>
    <row r="937" spans="1:7" x14ac:dyDescent="0.25">
      <c r="A937" s="34" t="str">
        <f>"PIEZA 2250 SERIE A Nº 33"</f>
        <v>PIEZA 2250 SERIE A Nº 33</v>
      </c>
      <c r="B937" s="2">
        <v>21</v>
      </c>
      <c r="C937" s="2">
        <v>9</v>
      </c>
      <c r="D937" s="11" t="str">
        <f t="shared" si="24"/>
        <v>UN</v>
      </c>
      <c r="E937" s="12">
        <v>188.96625000000003</v>
      </c>
      <c r="F937" s="13">
        <v>0</v>
      </c>
      <c r="G937" s="14" t="s">
        <v>198</v>
      </c>
    </row>
    <row r="938" spans="1:7" x14ac:dyDescent="0.25">
      <c r="A938" s="34" t="str">
        <f>"PIEZA 2250 SERIE A Nº 34"</f>
        <v>PIEZA 2250 SERIE A Nº 34</v>
      </c>
      <c r="B938" s="2">
        <v>21</v>
      </c>
      <c r="C938" s="2">
        <v>12</v>
      </c>
      <c r="D938" s="11" t="str">
        <f t="shared" si="24"/>
        <v>UN</v>
      </c>
      <c r="E938" s="12">
        <v>25.245000000000001</v>
      </c>
      <c r="F938" s="13">
        <v>0</v>
      </c>
      <c r="G938" s="14" t="s">
        <v>198</v>
      </c>
    </row>
    <row r="939" spans="1:7" x14ac:dyDescent="0.25">
      <c r="A939" s="34" t="str">
        <f>"PIEZA 2250 SERIE A Nº 35"</f>
        <v>PIEZA 2250 SERIE A Nº 35</v>
      </c>
      <c r="B939" s="2">
        <v>21</v>
      </c>
      <c r="C939" s="2">
        <v>11</v>
      </c>
      <c r="D939" s="11" t="str">
        <f t="shared" si="24"/>
        <v>UN</v>
      </c>
      <c r="E939" s="12">
        <v>817.20375000000013</v>
      </c>
      <c r="F939" s="13">
        <v>0</v>
      </c>
      <c r="G939" s="14" t="s">
        <v>198</v>
      </c>
    </row>
    <row r="940" spans="1:7" x14ac:dyDescent="0.25">
      <c r="A940" s="34" t="str">
        <f>"PIEZA 2250 SERIE A Nº 39"</f>
        <v>PIEZA 2250 SERIE A Nº 39</v>
      </c>
      <c r="B940" s="2">
        <v>21</v>
      </c>
      <c r="C940" s="2">
        <v>12</v>
      </c>
      <c r="D940" s="11" t="str">
        <f t="shared" si="24"/>
        <v>UN</v>
      </c>
      <c r="E940" s="12">
        <v>52.14</v>
      </c>
      <c r="F940" s="13">
        <v>0</v>
      </c>
      <c r="G940" s="14" t="s">
        <v>198</v>
      </c>
    </row>
    <row r="941" spans="1:7" x14ac:dyDescent="0.25">
      <c r="A941" s="34" t="str">
        <f>"PIEZA 2250 SERIE A Nº 42"</f>
        <v>PIEZA 2250 SERIE A Nº 42</v>
      </c>
      <c r="B941" s="2">
        <v>21</v>
      </c>
      <c r="C941" s="2">
        <v>3</v>
      </c>
      <c r="D941" s="11" t="str">
        <f t="shared" si="24"/>
        <v>UN</v>
      </c>
      <c r="E941" s="12">
        <v>74.002500000000026</v>
      </c>
      <c r="F941" s="13">
        <v>0</v>
      </c>
      <c r="G941" s="14" t="s">
        <v>198</v>
      </c>
    </row>
    <row r="942" spans="1:7" x14ac:dyDescent="0.25">
      <c r="A942" s="34" t="str">
        <f>"PIEZA 2250 SERIE A Nº 43"</f>
        <v>PIEZA 2250 SERIE A Nº 43</v>
      </c>
      <c r="B942" s="2">
        <v>21</v>
      </c>
      <c r="C942" s="2">
        <v>3</v>
      </c>
      <c r="D942" s="11" t="str">
        <f t="shared" si="24"/>
        <v>UN</v>
      </c>
      <c r="E942" s="12">
        <v>9.28125</v>
      </c>
      <c r="F942" s="13">
        <v>0</v>
      </c>
      <c r="G942" s="14" t="s">
        <v>198</v>
      </c>
    </row>
    <row r="943" spans="1:7" x14ac:dyDescent="0.25">
      <c r="A943" s="34" t="str">
        <f>"PIEZA 2250 SERIE B Nº 49"</f>
        <v>PIEZA 2250 SERIE B Nº 49</v>
      </c>
      <c r="B943" s="2">
        <v>21</v>
      </c>
      <c r="C943" s="2">
        <v>2</v>
      </c>
      <c r="D943" s="11" t="str">
        <f t="shared" si="24"/>
        <v>UN</v>
      </c>
      <c r="E943" s="12">
        <v>4.3174999999999999</v>
      </c>
      <c r="F943" s="13">
        <v>0</v>
      </c>
      <c r="G943" s="14" t="s">
        <v>198</v>
      </c>
    </row>
    <row r="944" spans="1:7" x14ac:dyDescent="0.25">
      <c r="A944" s="34" t="str">
        <f>"PIEZA 2250 SERIE B Nº 50"</f>
        <v>PIEZA 2250 SERIE B Nº 50</v>
      </c>
      <c r="B944" s="2">
        <v>21</v>
      </c>
      <c r="C944" s="2">
        <v>1</v>
      </c>
      <c r="D944" s="11" t="str">
        <f t="shared" si="24"/>
        <v>UN</v>
      </c>
      <c r="E944" s="12">
        <v>1.4575000000000002</v>
      </c>
      <c r="F944" s="13">
        <v>0</v>
      </c>
      <c r="G944" s="14" t="s">
        <v>198</v>
      </c>
    </row>
    <row r="945" spans="1:7" x14ac:dyDescent="0.25">
      <c r="A945" s="34" t="str">
        <f>"PIEZA 2250 SERIE C Nº 02"</f>
        <v>PIEZA 2250 SERIE C Nº 02</v>
      </c>
      <c r="B945" s="2">
        <v>21</v>
      </c>
      <c r="C945" s="2">
        <v>5</v>
      </c>
      <c r="D945" s="11" t="str">
        <f t="shared" si="24"/>
        <v>UN</v>
      </c>
      <c r="E945" s="12">
        <v>35.406250000000007</v>
      </c>
      <c r="F945" s="13">
        <v>0</v>
      </c>
      <c r="G945" s="14" t="s">
        <v>198</v>
      </c>
    </row>
    <row r="946" spans="1:7" x14ac:dyDescent="0.25">
      <c r="A946" s="34" t="str">
        <f>"PIEZA 2250 SERIE C Nº 40"</f>
        <v>PIEZA 2250 SERIE C Nº 40</v>
      </c>
      <c r="B946" s="2">
        <v>21</v>
      </c>
      <c r="C946" s="2">
        <v>2</v>
      </c>
      <c r="D946" s="11" t="str">
        <f t="shared" si="24"/>
        <v>UN</v>
      </c>
      <c r="E946" s="12">
        <v>148.22500000000002</v>
      </c>
      <c r="F946" s="13">
        <v>0</v>
      </c>
      <c r="G946" s="14" t="s">
        <v>198</v>
      </c>
    </row>
    <row r="947" spans="1:7" x14ac:dyDescent="0.25">
      <c r="A947" s="34" t="str">
        <f>"PIEZA 2250 SERIE C Nº 45"</f>
        <v>PIEZA 2250 SERIE C Nº 45</v>
      </c>
      <c r="B947" s="2">
        <v>21</v>
      </c>
      <c r="C947" s="2">
        <v>1</v>
      </c>
      <c r="D947" s="11" t="str">
        <f t="shared" si="24"/>
        <v>UN</v>
      </c>
      <c r="E947" s="12">
        <v>22</v>
      </c>
      <c r="F947" s="13">
        <v>0</v>
      </c>
      <c r="G947" s="14" t="s">
        <v>198</v>
      </c>
    </row>
    <row r="948" spans="1:7" x14ac:dyDescent="0.25">
      <c r="A948" s="34" t="str">
        <f>"PIEZA 2258 SERIE A Nº 05"</f>
        <v>PIEZA 2258 SERIE A Nº 05</v>
      </c>
      <c r="B948" s="2">
        <v>21</v>
      </c>
      <c r="C948" s="2">
        <v>3</v>
      </c>
      <c r="D948" s="11" t="str">
        <f t="shared" si="24"/>
        <v>UN</v>
      </c>
      <c r="E948" s="12">
        <v>9.8999999999999968</v>
      </c>
      <c r="F948" s="13">
        <v>0</v>
      </c>
      <c r="G948" s="14" t="s">
        <v>198</v>
      </c>
    </row>
    <row r="949" spans="1:7" x14ac:dyDescent="0.25">
      <c r="A949" s="34" t="str">
        <f>"PIEZA 2258 SERIE A Nº 06"</f>
        <v>PIEZA 2258 SERIE A Nº 06</v>
      </c>
      <c r="B949" s="2">
        <v>21</v>
      </c>
      <c r="C949" s="2">
        <v>3</v>
      </c>
      <c r="D949" s="11" t="str">
        <f t="shared" si="24"/>
        <v>UN</v>
      </c>
      <c r="E949" s="12">
        <v>4.3312500000000016</v>
      </c>
      <c r="F949" s="13">
        <v>0</v>
      </c>
      <c r="G949" s="14" t="s">
        <v>198</v>
      </c>
    </row>
    <row r="950" spans="1:7" x14ac:dyDescent="0.25">
      <c r="A950" s="34" t="str">
        <f>"PIEZA 2258 SERIE A Nº 08 882258"</f>
        <v>PIEZA 2258 SERIE A Nº 08 882258</v>
      </c>
      <c r="B950" s="2">
        <v>21</v>
      </c>
      <c r="C950" s="2">
        <v>2</v>
      </c>
      <c r="D950" s="11" t="str">
        <f t="shared" si="24"/>
        <v>UN</v>
      </c>
      <c r="E950" s="12">
        <v>132.82499999999999</v>
      </c>
      <c r="F950" s="13">
        <v>0</v>
      </c>
      <c r="G950" s="14" t="s">
        <v>198</v>
      </c>
    </row>
    <row r="951" spans="1:7" x14ac:dyDescent="0.25">
      <c r="A951" s="34" t="str">
        <f>"PIEZA 2258 SERIE A Nº 10"</f>
        <v>PIEZA 2258 SERIE A Nº 10</v>
      </c>
      <c r="B951" s="2">
        <v>21</v>
      </c>
      <c r="C951" s="2">
        <v>2</v>
      </c>
      <c r="D951" s="11" t="str">
        <f t="shared" si="24"/>
        <v>UN</v>
      </c>
      <c r="E951" s="12">
        <v>132.55000000000001</v>
      </c>
      <c r="F951" s="13">
        <v>0</v>
      </c>
      <c r="G951" s="14" t="s">
        <v>198</v>
      </c>
    </row>
    <row r="952" spans="1:7" x14ac:dyDescent="0.25">
      <c r="A952" s="34" t="str">
        <f>"PIEZA 2258 SERIE A Nº 11"</f>
        <v>PIEZA 2258 SERIE A Nº 11</v>
      </c>
      <c r="B952" s="2">
        <v>21</v>
      </c>
      <c r="C952" s="2">
        <v>1</v>
      </c>
      <c r="D952" s="11" t="str">
        <f t="shared" si="24"/>
        <v>UN</v>
      </c>
      <c r="E952" s="12">
        <v>124.16250000000002</v>
      </c>
      <c r="F952" s="13">
        <v>0</v>
      </c>
      <c r="G952" s="14" t="s">
        <v>198</v>
      </c>
    </row>
    <row r="953" spans="1:7" x14ac:dyDescent="0.25">
      <c r="A953" s="34" t="str">
        <f>"PIEZA 2258 SERIE A Nº 16"</f>
        <v>PIEZA 2258 SERIE A Nº 16</v>
      </c>
      <c r="B953" s="2">
        <v>21</v>
      </c>
      <c r="C953" s="2">
        <v>12</v>
      </c>
      <c r="D953" s="11" t="str">
        <f t="shared" si="24"/>
        <v>UN</v>
      </c>
      <c r="E953" s="12">
        <v>51.150000000000006</v>
      </c>
      <c r="F953" s="13">
        <v>0</v>
      </c>
      <c r="G953" s="14" t="s">
        <v>198</v>
      </c>
    </row>
    <row r="954" spans="1:7" x14ac:dyDescent="0.25">
      <c r="A954" s="34" t="str">
        <f>"PIEZA 2259 SERIE A Nº 01"</f>
        <v>PIEZA 2259 SERIE A Nº 01</v>
      </c>
      <c r="B954" s="2">
        <v>21</v>
      </c>
      <c r="C954" s="2">
        <v>4</v>
      </c>
      <c r="D954" s="11" t="str">
        <f t="shared" si="24"/>
        <v>UN</v>
      </c>
      <c r="E954" s="12">
        <v>14.850000000000001</v>
      </c>
      <c r="F954" s="13">
        <v>0</v>
      </c>
      <c r="G954" s="14" t="s">
        <v>198</v>
      </c>
    </row>
    <row r="955" spans="1:7" x14ac:dyDescent="0.25">
      <c r="A955" s="34" t="str">
        <f>"PIEZA 2259 SERIE A Nº 06"</f>
        <v>PIEZA 2259 SERIE A Nº 06</v>
      </c>
      <c r="B955" s="2">
        <v>21</v>
      </c>
      <c r="C955" s="2">
        <v>2</v>
      </c>
      <c r="D955" s="11" t="str">
        <f t="shared" si="24"/>
        <v>UN</v>
      </c>
      <c r="E955" s="12">
        <v>5.5000000000000009</v>
      </c>
      <c r="F955" s="13">
        <v>0</v>
      </c>
      <c r="G955" s="14" t="s">
        <v>198</v>
      </c>
    </row>
    <row r="956" spans="1:7" x14ac:dyDescent="0.25">
      <c r="A956" s="34" t="str">
        <f>"PIEZA 2259 SERIE A Nº 07"</f>
        <v>PIEZA 2259 SERIE A Nº 07</v>
      </c>
      <c r="B956" s="2">
        <v>21</v>
      </c>
      <c r="C956" s="2">
        <v>10</v>
      </c>
      <c r="D956" s="11" t="str">
        <f t="shared" si="24"/>
        <v>UN</v>
      </c>
      <c r="E956" s="12">
        <v>15.8125</v>
      </c>
      <c r="F956" s="13">
        <v>0</v>
      </c>
      <c r="G956" s="14" t="s">
        <v>198</v>
      </c>
    </row>
    <row r="957" spans="1:7" x14ac:dyDescent="0.25">
      <c r="A957" s="34" t="str">
        <f>"PIEZA 2259 SERIE A Nº 08"</f>
        <v>PIEZA 2259 SERIE A Nº 08</v>
      </c>
      <c r="B957" s="2">
        <v>21</v>
      </c>
      <c r="C957" s="2">
        <v>5</v>
      </c>
      <c r="D957" s="11" t="str">
        <f t="shared" si="24"/>
        <v>UN</v>
      </c>
      <c r="E957" s="12">
        <v>5.5000000000000009</v>
      </c>
      <c r="F957" s="13">
        <v>0</v>
      </c>
      <c r="G957" s="14" t="s">
        <v>198</v>
      </c>
    </row>
    <row r="958" spans="1:7" x14ac:dyDescent="0.25">
      <c r="A958" s="34" t="str">
        <f>"PIEZA 2259 SERIE A Nº 09"</f>
        <v>PIEZA 2259 SERIE A Nº 09</v>
      </c>
      <c r="B958" s="2">
        <v>21</v>
      </c>
      <c r="C958" s="2">
        <v>39</v>
      </c>
      <c r="D958" s="11" t="str">
        <f t="shared" si="24"/>
        <v>UN</v>
      </c>
      <c r="E958" s="12">
        <v>42.900000000000006</v>
      </c>
      <c r="F958" s="13">
        <v>0</v>
      </c>
      <c r="G958" s="14" t="s">
        <v>198</v>
      </c>
    </row>
    <row r="959" spans="1:7" x14ac:dyDescent="0.25">
      <c r="A959" s="34" t="str">
        <f>"PIEZA 2259 SERIE A Nº 10"</f>
        <v>PIEZA 2259 SERIE A Nº 10</v>
      </c>
      <c r="B959" s="2">
        <v>21</v>
      </c>
      <c r="C959" s="2">
        <v>2</v>
      </c>
      <c r="D959" s="11" t="str">
        <f t="shared" si="24"/>
        <v>UN</v>
      </c>
      <c r="E959" s="12">
        <v>51.5625</v>
      </c>
      <c r="F959" s="13">
        <v>0</v>
      </c>
      <c r="G959" s="14" t="s">
        <v>198</v>
      </c>
    </row>
    <row r="960" spans="1:7" x14ac:dyDescent="0.25">
      <c r="A960" s="34" t="str">
        <f>"PIEZA 2259 SERIE A Nº 11"</f>
        <v>PIEZA 2259 SERIE A Nº 11</v>
      </c>
      <c r="B960" s="2">
        <v>21</v>
      </c>
      <c r="C960" s="2">
        <v>1</v>
      </c>
      <c r="D960" s="11" t="str">
        <f t="shared" si="24"/>
        <v>UN</v>
      </c>
      <c r="E960" s="12">
        <v>70.331249999999997</v>
      </c>
      <c r="F960" s="13">
        <v>0</v>
      </c>
      <c r="G960" s="14" t="s">
        <v>198</v>
      </c>
    </row>
    <row r="961" spans="1:7" x14ac:dyDescent="0.25">
      <c r="A961" s="34" t="str">
        <f>"PIEZA 2259 SERIE A Nº 12"</f>
        <v>PIEZA 2259 SERIE A Nº 12</v>
      </c>
      <c r="B961" s="2">
        <v>21</v>
      </c>
      <c r="C961" s="2">
        <v>4</v>
      </c>
      <c r="D961" s="11" t="str">
        <f t="shared" si="24"/>
        <v>UN</v>
      </c>
      <c r="E961" s="12">
        <v>14.575000000000001</v>
      </c>
      <c r="F961" s="13">
        <v>0</v>
      </c>
      <c r="G961" s="14" t="s">
        <v>198</v>
      </c>
    </row>
    <row r="962" spans="1:7" x14ac:dyDescent="0.25">
      <c r="A962" s="34" t="str">
        <f>"PIEZA 2259 SERIE A Nº 13"</f>
        <v>PIEZA 2259 SERIE A Nº 13</v>
      </c>
      <c r="B962" s="2">
        <v>21</v>
      </c>
      <c r="C962" s="2">
        <v>8</v>
      </c>
      <c r="D962" s="11" t="str">
        <f t="shared" si="24"/>
        <v>UN</v>
      </c>
      <c r="E962" s="12">
        <v>85.8</v>
      </c>
      <c r="F962" s="13">
        <v>0</v>
      </c>
      <c r="G962" s="14" t="s">
        <v>198</v>
      </c>
    </row>
    <row r="963" spans="1:7" x14ac:dyDescent="0.25">
      <c r="A963" s="34" t="str">
        <f>"PIEZA 2259 SERIE A Nº 14"</f>
        <v>PIEZA 2259 SERIE A Nº 14</v>
      </c>
      <c r="B963" s="2">
        <v>21</v>
      </c>
      <c r="C963" s="2">
        <v>2</v>
      </c>
      <c r="D963" s="11" t="str">
        <f t="shared" si="24"/>
        <v>UN</v>
      </c>
      <c r="E963" s="12">
        <v>68.0625</v>
      </c>
      <c r="F963" s="13">
        <v>0</v>
      </c>
      <c r="G963" s="14" t="s">
        <v>198</v>
      </c>
    </row>
    <row r="964" spans="1:7" x14ac:dyDescent="0.25">
      <c r="A964" s="34" t="str">
        <f>"PIEZA 2259 SERIE A Nº 15"</f>
        <v>PIEZA 2259 SERIE A Nº 15</v>
      </c>
      <c r="B964" s="2">
        <v>21</v>
      </c>
      <c r="C964" s="2">
        <v>3</v>
      </c>
      <c r="D964" s="11" t="str">
        <f t="shared" si="24"/>
        <v>UN</v>
      </c>
      <c r="E964" s="12">
        <v>35.887500000000003</v>
      </c>
      <c r="F964" s="13">
        <v>0</v>
      </c>
      <c r="G964" s="14" t="s">
        <v>198</v>
      </c>
    </row>
    <row r="965" spans="1:7" x14ac:dyDescent="0.25">
      <c r="A965" s="34" t="str">
        <f>"PIEZA 2259 SERIE A Nº 16"</f>
        <v>PIEZA 2259 SERIE A Nº 16</v>
      </c>
      <c r="B965" s="2">
        <v>21</v>
      </c>
      <c r="C965" s="2">
        <v>10</v>
      </c>
      <c r="D965" s="11" t="str">
        <f t="shared" si="24"/>
        <v>UN</v>
      </c>
      <c r="E965" s="12">
        <v>32.3125</v>
      </c>
      <c r="F965" s="13">
        <v>0</v>
      </c>
      <c r="G965" s="14" t="s">
        <v>198</v>
      </c>
    </row>
    <row r="966" spans="1:7" x14ac:dyDescent="0.25">
      <c r="A966" s="34" t="str">
        <f>"PIEZA 2259 SERIE A Nº 18"</f>
        <v>PIEZA 2259 SERIE A Nº 18</v>
      </c>
      <c r="B966" s="2">
        <v>21</v>
      </c>
      <c r="C966" s="2">
        <v>2</v>
      </c>
      <c r="D966" s="11" t="str">
        <f t="shared" si="24"/>
        <v>UN</v>
      </c>
      <c r="E966" s="12">
        <v>38.637500000000003</v>
      </c>
      <c r="F966" s="13">
        <v>0</v>
      </c>
      <c r="G966" s="14" t="s">
        <v>198</v>
      </c>
    </row>
    <row r="967" spans="1:7" x14ac:dyDescent="0.25">
      <c r="A967" s="34" t="str">
        <f>"PIEZA 2259 SERIE A Nº 20"</f>
        <v>PIEZA 2259 SERIE A Nº 20</v>
      </c>
      <c r="B967" s="2">
        <v>21</v>
      </c>
      <c r="C967" s="2">
        <v>2</v>
      </c>
      <c r="D967" s="11" t="str">
        <f t="shared" si="24"/>
        <v>UN</v>
      </c>
      <c r="E967" s="12">
        <v>7.5625</v>
      </c>
      <c r="F967" s="13">
        <v>0</v>
      </c>
      <c r="G967" s="14" t="s">
        <v>198</v>
      </c>
    </row>
    <row r="968" spans="1:7" x14ac:dyDescent="0.25">
      <c r="A968" s="34" t="str">
        <f>"PIEZA 2259 SERIE A Nº 21"</f>
        <v>PIEZA 2259 SERIE A Nº 21</v>
      </c>
      <c r="B968" s="2">
        <v>21</v>
      </c>
      <c r="C968" s="2">
        <v>4</v>
      </c>
      <c r="D968" s="11" t="str">
        <f t="shared" si="24"/>
        <v>UN</v>
      </c>
      <c r="E968" s="12">
        <v>8.8000000000000007</v>
      </c>
      <c r="F968" s="13">
        <v>0</v>
      </c>
      <c r="G968" s="14" t="s">
        <v>198</v>
      </c>
    </row>
    <row r="969" spans="1:7" x14ac:dyDescent="0.25">
      <c r="A969" s="34" t="str">
        <f>"PIEZA 2259 SERIE A Nº 22"</f>
        <v>PIEZA 2259 SERIE A Nº 22</v>
      </c>
      <c r="B969" s="2">
        <v>21</v>
      </c>
      <c r="C969" s="2">
        <v>1</v>
      </c>
      <c r="D969" s="11" t="str">
        <f t="shared" si="24"/>
        <v>UN</v>
      </c>
      <c r="E969" s="12">
        <v>75.349999999999994</v>
      </c>
      <c r="F969" s="13">
        <v>0</v>
      </c>
      <c r="G969" s="14" t="s">
        <v>198</v>
      </c>
    </row>
    <row r="970" spans="1:7" x14ac:dyDescent="0.25">
      <c r="A970" s="34" t="str">
        <f>"PIEZA 2259 SERIE A Nº 35"</f>
        <v>PIEZA 2259 SERIE A Nº 35</v>
      </c>
      <c r="B970" s="2">
        <v>21</v>
      </c>
      <c r="C970" s="2">
        <v>14</v>
      </c>
      <c r="D970" s="11" t="str">
        <f t="shared" ref="D970:D1033" si="25">"UN"</f>
        <v>UN</v>
      </c>
      <c r="E970" s="12">
        <v>2252.2500000000005</v>
      </c>
      <c r="F970" s="13">
        <v>0</v>
      </c>
      <c r="G970" s="14" t="s">
        <v>198</v>
      </c>
    </row>
    <row r="971" spans="1:7" x14ac:dyDescent="0.25">
      <c r="A971" s="34" t="str">
        <f>"PIEZA 2259 SERIE A Nº 38"</f>
        <v>PIEZA 2259 SERIE A Nº 38</v>
      </c>
      <c r="B971" s="2">
        <v>21</v>
      </c>
      <c r="C971" s="2">
        <v>5</v>
      </c>
      <c r="D971" s="11" t="str">
        <f t="shared" si="25"/>
        <v>UN</v>
      </c>
      <c r="E971" s="12">
        <v>26.812500000000004</v>
      </c>
      <c r="F971" s="13">
        <v>0</v>
      </c>
      <c r="G971" s="14" t="s">
        <v>198</v>
      </c>
    </row>
    <row r="972" spans="1:7" x14ac:dyDescent="0.25">
      <c r="A972" s="34" t="str">
        <f>"PIEZA 2259 SERIE A Nº 39"</f>
        <v>PIEZA 2259 SERIE A Nº 39</v>
      </c>
      <c r="B972" s="2">
        <v>21</v>
      </c>
      <c r="C972" s="2">
        <v>4</v>
      </c>
      <c r="D972" s="11" t="str">
        <f t="shared" si="25"/>
        <v>UN</v>
      </c>
      <c r="E972" s="12">
        <v>17.325000000000003</v>
      </c>
      <c r="F972" s="13">
        <v>0</v>
      </c>
      <c r="G972" s="14" t="s">
        <v>198</v>
      </c>
    </row>
    <row r="973" spans="1:7" x14ac:dyDescent="0.25">
      <c r="A973" s="34" t="str">
        <f>"PIEZA 2259 SERIE A Nº 43"</f>
        <v>PIEZA 2259 SERIE A Nº 43</v>
      </c>
      <c r="B973" s="2">
        <v>21</v>
      </c>
      <c r="C973" s="2">
        <v>5</v>
      </c>
      <c r="D973" s="11" t="str">
        <f t="shared" si="25"/>
        <v>UN</v>
      </c>
      <c r="E973" s="12">
        <v>44</v>
      </c>
      <c r="F973" s="13">
        <v>0</v>
      </c>
      <c r="G973" s="14" t="s">
        <v>198</v>
      </c>
    </row>
    <row r="974" spans="1:7" x14ac:dyDescent="0.25">
      <c r="A974" s="34" t="str">
        <f>"PIEZA 2259 SERIE A Nº 45"</f>
        <v>PIEZA 2259 SERIE A Nº 45</v>
      </c>
      <c r="B974" s="2">
        <v>21</v>
      </c>
      <c r="C974" s="2">
        <v>14</v>
      </c>
      <c r="D974" s="11" t="str">
        <f t="shared" si="25"/>
        <v>UN</v>
      </c>
      <c r="E974" s="12">
        <v>15.400000000000002</v>
      </c>
      <c r="F974" s="13">
        <v>0</v>
      </c>
      <c r="G974" s="14" t="s">
        <v>198</v>
      </c>
    </row>
    <row r="975" spans="1:7" x14ac:dyDescent="0.25">
      <c r="A975" s="34" t="str">
        <f>"PIEZA 2261 SERIE A Nº 06"</f>
        <v>PIEZA 2261 SERIE A Nº 06</v>
      </c>
      <c r="B975" s="2">
        <v>21</v>
      </c>
      <c r="C975" s="2">
        <v>3</v>
      </c>
      <c r="D975" s="11" t="str">
        <f t="shared" si="25"/>
        <v>UN</v>
      </c>
      <c r="E975" s="12">
        <v>526.59750000000008</v>
      </c>
      <c r="F975" s="13">
        <v>0</v>
      </c>
      <c r="G975" s="14" t="s">
        <v>198</v>
      </c>
    </row>
    <row r="976" spans="1:7" x14ac:dyDescent="0.25">
      <c r="A976" s="34" t="str">
        <f>"PIEZA 2261 SERIE A Nº 07"</f>
        <v>PIEZA 2261 SERIE A Nº 07</v>
      </c>
      <c r="B976" s="2">
        <v>21</v>
      </c>
      <c r="C976" s="2">
        <v>1</v>
      </c>
      <c r="D976" s="11" t="str">
        <f t="shared" si="25"/>
        <v>UN</v>
      </c>
      <c r="E976" s="12">
        <v>183.7825</v>
      </c>
      <c r="F976" s="13">
        <v>0</v>
      </c>
      <c r="G976" s="14" t="s">
        <v>198</v>
      </c>
    </row>
    <row r="977" spans="1:7" x14ac:dyDescent="0.25">
      <c r="A977" s="34" t="str">
        <f>"PIEZA 2261 SERIE A Nº 08"</f>
        <v>PIEZA 2261 SERIE A Nº 08</v>
      </c>
      <c r="B977" s="2">
        <v>21</v>
      </c>
      <c r="C977" s="2">
        <v>4</v>
      </c>
      <c r="D977" s="11" t="str">
        <f t="shared" si="25"/>
        <v>UN</v>
      </c>
      <c r="E977" s="12">
        <v>345.73000000000008</v>
      </c>
      <c r="F977" s="13">
        <v>0</v>
      </c>
      <c r="G977" s="14" t="s">
        <v>198</v>
      </c>
    </row>
    <row r="978" spans="1:7" x14ac:dyDescent="0.25">
      <c r="A978" s="34" t="str">
        <f>"PIEZA 2261 SERIE A Nº 15"</f>
        <v>PIEZA 2261 SERIE A Nº 15</v>
      </c>
      <c r="B978" s="2">
        <v>21</v>
      </c>
      <c r="C978" s="2">
        <v>1</v>
      </c>
      <c r="D978" s="11" t="str">
        <f t="shared" si="25"/>
        <v>UN</v>
      </c>
      <c r="E978" s="12">
        <v>183.7825</v>
      </c>
      <c r="F978" s="13">
        <v>0</v>
      </c>
      <c r="G978" s="14" t="s">
        <v>198</v>
      </c>
    </row>
    <row r="979" spans="1:7" x14ac:dyDescent="0.25">
      <c r="A979" s="34" t="str">
        <f>"PIEZA 2261 SERIE A Nº 16"</f>
        <v>PIEZA 2261 SERIE A Nº 16</v>
      </c>
      <c r="B979" s="2">
        <v>21</v>
      </c>
      <c r="C979" s="2">
        <v>1</v>
      </c>
      <c r="D979" s="11" t="str">
        <f t="shared" si="25"/>
        <v>UN</v>
      </c>
      <c r="E979" s="12">
        <v>100.14125</v>
      </c>
      <c r="F979" s="13">
        <v>0</v>
      </c>
      <c r="G979" s="14" t="s">
        <v>198</v>
      </c>
    </row>
    <row r="980" spans="1:7" x14ac:dyDescent="0.25">
      <c r="A980" s="34" t="str">
        <f>"PIEZA 2261 SERIE A Nº 17"</f>
        <v>PIEZA 2261 SERIE A Nº 17</v>
      </c>
      <c r="B980" s="2">
        <v>21</v>
      </c>
      <c r="C980" s="2">
        <v>6</v>
      </c>
      <c r="D980" s="11" t="str">
        <f t="shared" si="25"/>
        <v>UN</v>
      </c>
      <c r="E980" s="12">
        <v>30.937500000000004</v>
      </c>
      <c r="F980" s="13">
        <v>0</v>
      </c>
      <c r="G980" s="14" t="s">
        <v>198</v>
      </c>
    </row>
    <row r="981" spans="1:7" x14ac:dyDescent="0.25">
      <c r="A981" s="34" t="str">
        <f>"PIEZA 2261 SERIE A Nº 24"</f>
        <v>PIEZA 2261 SERIE A Nº 24</v>
      </c>
      <c r="B981" s="2">
        <v>21</v>
      </c>
      <c r="C981" s="2">
        <v>4</v>
      </c>
      <c r="D981" s="11" t="str">
        <f t="shared" si="25"/>
        <v>UN</v>
      </c>
      <c r="E981" s="12">
        <v>40.315000000000005</v>
      </c>
      <c r="F981" s="13">
        <v>0</v>
      </c>
      <c r="G981" s="14" t="s">
        <v>198</v>
      </c>
    </row>
    <row r="982" spans="1:7" x14ac:dyDescent="0.25">
      <c r="A982" s="34" t="str">
        <f>"PIEZA 2263 SERIE A Nº 07"</f>
        <v>PIEZA 2263 SERIE A Nº 07</v>
      </c>
      <c r="B982" s="2">
        <v>21</v>
      </c>
      <c r="C982" s="2">
        <v>2</v>
      </c>
      <c r="D982" s="11" t="str">
        <f t="shared" si="25"/>
        <v>UN</v>
      </c>
      <c r="E982" s="12">
        <v>262.07500000000005</v>
      </c>
      <c r="F982" s="13">
        <v>0</v>
      </c>
      <c r="G982" s="14" t="s">
        <v>198</v>
      </c>
    </row>
    <row r="983" spans="1:7" x14ac:dyDescent="0.25">
      <c r="A983" s="34" t="str">
        <f>"PIEZA 2263 SERIE A Nº 08"</f>
        <v>PIEZA 2263 SERIE A Nº 08</v>
      </c>
      <c r="B983" s="2">
        <v>21</v>
      </c>
      <c r="C983" s="2">
        <v>11</v>
      </c>
      <c r="D983" s="11" t="str">
        <f t="shared" si="25"/>
        <v>UN</v>
      </c>
      <c r="E983" s="12">
        <v>52.181250000000013</v>
      </c>
      <c r="F983" s="13">
        <v>0</v>
      </c>
      <c r="G983" s="14" t="s">
        <v>198</v>
      </c>
    </row>
    <row r="984" spans="1:7" x14ac:dyDescent="0.25">
      <c r="A984" s="34" t="str">
        <f>"PIEZA 2263 SERIE B Nº 01"</f>
        <v>PIEZA 2263 SERIE B Nº 01</v>
      </c>
      <c r="B984" s="2">
        <v>21</v>
      </c>
      <c r="C984" s="2">
        <v>3</v>
      </c>
      <c r="D984" s="11" t="str">
        <f t="shared" si="25"/>
        <v>UN</v>
      </c>
      <c r="E984" s="12">
        <v>450.03749999999997</v>
      </c>
      <c r="F984" s="13">
        <v>0</v>
      </c>
      <c r="G984" s="14" t="s">
        <v>198</v>
      </c>
    </row>
    <row r="985" spans="1:7" x14ac:dyDescent="0.25">
      <c r="A985" s="34" t="str">
        <f>"PIEZA 2264 SERIE A Nº 01"</f>
        <v>PIEZA 2264 SERIE A Nº 01</v>
      </c>
      <c r="B985" s="2">
        <v>21</v>
      </c>
      <c r="C985" s="2">
        <v>3</v>
      </c>
      <c r="D985" s="11" t="str">
        <f t="shared" si="25"/>
        <v>UN</v>
      </c>
      <c r="E985" s="12">
        <v>23.099999999999998</v>
      </c>
      <c r="F985" s="13">
        <v>0</v>
      </c>
      <c r="G985" s="14" t="s">
        <v>198</v>
      </c>
    </row>
    <row r="986" spans="1:7" x14ac:dyDescent="0.25">
      <c r="A986" s="34" t="str">
        <f>"PIEZA 2264 SERIE A Nº 02"</f>
        <v>PIEZA 2264 SERIE A Nº 02</v>
      </c>
      <c r="B986" s="2">
        <v>21</v>
      </c>
      <c r="C986" s="2">
        <v>2</v>
      </c>
      <c r="D986" s="11" t="str">
        <f t="shared" si="25"/>
        <v>UN</v>
      </c>
      <c r="E986" s="12">
        <v>10.725000000000003</v>
      </c>
      <c r="F986" s="13">
        <v>0</v>
      </c>
      <c r="G986" s="14" t="s">
        <v>198</v>
      </c>
    </row>
    <row r="987" spans="1:7" x14ac:dyDescent="0.25">
      <c r="A987" s="34" t="str">
        <f>"PIEZA 2264 SERIE A Nº 05"</f>
        <v>PIEZA 2264 SERIE A Nº 05</v>
      </c>
      <c r="B987" s="2">
        <v>21</v>
      </c>
      <c r="C987" s="2">
        <v>1</v>
      </c>
      <c r="D987" s="11" t="str">
        <f t="shared" si="25"/>
        <v>UN</v>
      </c>
      <c r="E987" s="12">
        <v>4.2625000000000011</v>
      </c>
      <c r="F987" s="13">
        <v>0</v>
      </c>
      <c r="G987" s="14" t="s">
        <v>198</v>
      </c>
    </row>
    <row r="988" spans="1:7" x14ac:dyDescent="0.25">
      <c r="A988" s="34" t="str">
        <f>"PIEZA 2264 SERIE A Nº 06"</f>
        <v>PIEZA 2264 SERIE A Nº 06</v>
      </c>
      <c r="B988" s="2">
        <v>21</v>
      </c>
      <c r="C988" s="2">
        <v>4</v>
      </c>
      <c r="D988" s="11" t="str">
        <f t="shared" si="25"/>
        <v>UN</v>
      </c>
      <c r="E988" s="12">
        <v>7.6999999999999993</v>
      </c>
      <c r="F988" s="13">
        <v>0</v>
      </c>
      <c r="G988" s="14" t="s">
        <v>198</v>
      </c>
    </row>
    <row r="989" spans="1:7" x14ac:dyDescent="0.25">
      <c r="A989" s="34" t="str">
        <f>"PIEZA 2264 SERIE A Nº 08"</f>
        <v>PIEZA 2264 SERIE A Nº 08</v>
      </c>
      <c r="B989" s="2">
        <v>21</v>
      </c>
      <c r="C989" s="2">
        <v>15</v>
      </c>
      <c r="D989" s="11" t="str">
        <f t="shared" si="25"/>
        <v>UN</v>
      </c>
      <c r="E989" s="12">
        <v>49.500000000000007</v>
      </c>
      <c r="F989" s="13">
        <v>0</v>
      </c>
      <c r="G989" s="14" t="s">
        <v>198</v>
      </c>
    </row>
    <row r="990" spans="1:7" x14ac:dyDescent="0.25">
      <c r="A990" s="34" t="str">
        <f>"PIEZA 2264 SERIE A Nº 11"</f>
        <v>PIEZA 2264 SERIE A Nº 11</v>
      </c>
      <c r="B990" s="2">
        <v>21</v>
      </c>
      <c r="C990" s="2">
        <v>6</v>
      </c>
      <c r="D990" s="11" t="str">
        <f t="shared" si="25"/>
        <v>UN</v>
      </c>
      <c r="E990" s="12">
        <v>486.74999999999994</v>
      </c>
      <c r="F990" s="13">
        <v>0</v>
      </c>
      <c r="G990" s="14" t="s">
        <v>198</v>
      </c>
    </row>
    <row r="991" spans="1:7" x14ac:dyDescent="0.25">
      <c r="A991" s="34" t="str">
        <f>"PIEZA 2264 SERIE A Nº 12"</f>
        <v>PIEZA 2264 SERIE A Nº 12</v>
      </c>
      <c r="B991" s="2">
        <v>21</v>
      </c>
      <c r="C991" s="2">
        <v>11</v>
      </c>
      <c r="D991" s="11" t="str">
        <f t="shared" si="25"/>
        <v>UN</v>
      </c>
      <c r="E991" s="12">
        <v>36.300000000000004</v>
      </c>
      <c r="F991" s="13">
        <v>0</v>
      </c>
      <c r="G991" s="14" t="s">
        <v>198</v>
      </c>
    </row>
    <row r="992" spans="1:7" x14ac:dyDescent="0.25">
      <c r="A992" s="34" t="str">
        <f>"PIEZA 2264 SERIE A Nº 13"</f>
        <v>PIEZA 2264 SERIE A Nº 13</v>
      </c>
      <c r="B992" s="2">
        <v>21</v>
      </c>
      <c r="C992" s="2">
        <v>1</v>
      </c>
      <c r="D992" s="11" t="str">
        <f t="shared" si="25"/>
        <v>UN</v>
      </c>
      <c r="E992" s="12">
        <v>10.3125</v>
      </c>
      <c r="F992" s="13">
        <v>0</v>
      </c>
      <c r="G992" s="14" t="s">
        <v>198</v>
      </c>
    </row>
    <row r="993" spans="1:7" x14ac:dyDescent="0.25">
      <c r="A993" s="34" t="str">
        <f>"PIEZA 2264 SERIE A Nº 14"</f>
        <v>PIEZA 2264 SERIE A Nº 14</v>
      </c>
      <c r="B993" s="2">
        <v>21</v>
      </c>
      <c r="C993" s="2">
        <v>3</v>
      </c>
      <c r="D993" s="11" t="str">
        <f t="shared" si="25"/>
        <v>UN</v>
      </c>
      <c r="E993" s="12">
        <v>90.007500000000022</v>
      </c>
      <c r="F993" s="13">
        <v>0</v>
      </c>
      <c r="G993" s="14" t="s">
        <v>198</v>
      </c>
    </row>
    <row r="994" spans="1:7" x14ac:dyDescent="0.25">
      <c r="A994" s="34" t="str">
        <f>"PIEZA 2264 SERIE A Nº 15"</f>
        <v>PIEZA 2264 SERIE A Nº 15</v>
      </c>
      <c r="B994" s="2">
        <v>21</v>
      </c>
      <c r="C994" s="2">
        <v>3</v>
      </c>
      <c r="D994" s="11" t="str">
        <f t="shared" si="25"/>
        <v>UN</v>
      </c>
      <c r="E994" s="12">
        <v>32.339999999999996</v>
      </c>
      <c r="F994" s="13">
        <v>0</v>
      </c>
      <c r="G994" s="14" t="s">
        <v>198</v>
      </c>
    </row>
    <row r="995" spans="1:7" x14ac:dyDescent="0.25">
      <c r="A995" s="34" t="str">
        <f>"PIEZA 2264 SERIE A Nº 16"</f>
        <v>PIEZA 2264 SERIE A Nº 16</v>
      </c>
      <c r="B995" s="2">
        <v>21</v>
      </c>
      <c r="C995" s="2">
        <v>4</v>
      </c>
      <c r="D995" s="11" t="str">
        <f t="shared" si="25"/>
        <v>UN</v>
      </c>
      <c r="E995" s="12">
        <v>11.275</v>
      </c>
      <c r="F995" s="13">
        <v>0</v>
      </c>
      <c r="G995" s="14" t="s">
        <v>198</v>
      </c>
    </row>
    <row r="996" spans="1:7" x14ac:dyDescent="0.25">
      <c r="A996" s="34" t="str">
        <f>"PIEZA 2264 SERIE A Nº 18"</f>
        <v>PIEZA 2264 SERIE A Nº 18</v>
      </c>
      <c r="B996" s="2">
        <v>21</v>
      </c>
      <c r="C996" s="2">
        <v>4</v>
      </c>
      <c r="D996" s="11" t="str">
        <f t="shared" si="25"/>
        <v>UN</v>
      </c>
      <c r="E996" s="12">
        <v>77.55</v>
      </c>
      <c r="F996" s="13">
        <v>0</v>
      </c>
      <c r="G996" s="14" t="s">
        <v>198</v>
      </c>
    </row>
    <row r="997" spans="1:7" x14ac:dyDescent="0.25">
      <c r="A997" s="34" t="str">
        <f>"PIEZA 2264 SERIE A Nº 19"</f>
        <v>PIEZA 2264 SERIE A Nº 19</v>
      </c>
      <c r="B997" s="2">
        <v>21</v>
      </c>
      <c r="C997" s="2">
        <v>5</v>
      </c>
      <c r="D997" s="11" t="str">
        <f t="shared" si="25"/>
        <v>UN</v>
      </c>
      <c r="E997" s="12">
        <v>11.687500000000002</v>
      </c>
      <c r="F997" s="13">
        <v>0</v>
      </c>
      <c r="G997" s="14" t="s">
        <v>198</v>
      </c>
    </row>
    <row r="998" spans="1:7" x14ac:dyDescent="0.25">
      <c r="A998" s="34" t="str">
        <f>"PIEZA 2264 SERIE A Nº 21"</f>
        <v>PIEZA 2264 SERIE A Nº 21</v>
      </c>
      <c r="B998" s="2">
        <v>21</v>
      </c>
      <c r="C998" s="2">
        <v>44</v>
      </c>
      <c r="D998" s="11" t="str">
        <f t="shared" si="25"/>
        <v>UN</v>
      </c>
      <c r="E998" s="12">
        <v>138.54500000000002</v>
      </c>
      <c r="F998" s="13">
        <v>0</v>
      </c>
      <c r="G998" s="14" t="s">
        <v>198</v>
      </c>
    </row>
    <row r="999" spans="1:7" x14ac:dyDescent="0.25">
      <c r="A999" s="34" t="str">
        <f>"PIEZA 2264 SERIE A Nº 23"</f>
        <v>PIEZA 2264 SERIE A Nº 23</v>
      </c>
      <c r="B999" s="2">
        <v>21</v>
      </c>
      <c r="C999" s="2">
        <v>2</v>
      </c>
      <c r="D999" s="11" t="str">
        <f t="shared" si="25"/>
        <v>UN</v>
      </c>
      <c r="E999" s="12">
        <v>234.30000000000004</v>
      </c>
      <c r="F999" s="13">
        <v>0</v>
      </c>
      <c r="G999" s="14" t="s">
        <v>198</v>
      </c>
    </row>
    <row r="1000" spans="1:7" x14ac:dyDescent="0.25">
      <c r="A1000" s="34" t="str">
        <f>"PIEZA 2264 SERIE A Nº 26"</f>
        <v>PIEZA 2264 SERIE A Nº 26</v>
      </c>
      <c r="B1000" s="2">
        <v>21</v>
      </c>
      <c r="C1000" s="2">
        <v>5</v>
      </c>
      <c r="D1000" s="11" t="str">
        <f t="shared" si="25"/>
        <v>UN</v>
      </c>
      <c r="E1000" s="12">
        <v>6.1875000000000009</v>
      </c>
      <c r="F1000" s="13">
        <v>0</v>
      </c>
      <c r="G1000" s="14" t="s">
        <v>198</v>
      </c>
    </row>
    <row r="1001" spans="1:7" x14ac:dyDescent="0.25">
      <c r="A1001" s="34" t="str">
        <f>"PIEZA 2264 SERIE A Nº 27"</f>
        <v>PIEZA 2264 SERIE A Nº 27</v>
      </c>
      <c r="B1001" s="2">
        <v>21</v>
      </c>
      <c r="C1001" s="2">
        <v>1</v>
      </c>
      <c r="D1001" s="11" t="str">
        <f t="shared" si="25"/>
        <v>UN</v>
      </c>
      <c r="E1001" s="12">
        <v>14.162500000000003</v>
      </c>
      <c r="F1001" s="13">
        <v>0</v>
      </c>
      <c r="G1001" s="14" t="s">
        <v>198</v>
      </c>
    </row>
    <row r="1002" spans="1:7" x14ac:dyDescent="0.25">
      <c r="A1002" s="34" t="str">
        <f>"PIEZA 2264 SERIE A Nº 28"</f>
        <v>PIEZA 2264 SERIE A Nº 28</v>
      </c>
      <c r="B1002" s="2">
        <v>21</v>
      </c>
      <c r="C1002" s="2">
        <v>4</v>
      </c>
      <c r="D1002" s="11" t="str">
        <f t="shared" si="25"/>
        <v>UN</v>
      </c>
      <c r="E1002" s="12">
        <v>4.9499999999999993</v>
      </c>
      <c r="F1002" s="13">
        <v>0</v>
      </c>
      <c r="G1002" s="14" t="s">
        <v>198</v>
      </c>
    </row>
    <row r="1003" spans="1:7" x14ac:dyDescent="0.25">
      <c r="A1003" s="34" t="str">
        <f>"PIEZA 2264 SERIE A Nº 29"</f>
        <v>PIEZA 2264 SERIE A Nº 29</v>
      </c>
      <c r="B1003" s="2">
        <v>21</v>
      </c>
      <c r="C1003" s="2">
        <v>1</v>
      </c>
      <c r="D1003" s="11" t="str">
        <f t="shared" si="25"/>
        <v>UN</v>
      </c>
      <c r="E1003" s="12">
        <v>1.2374999999999998</v>
      </c>
      <c r="F1003" s="13">
        <v>0</v>
      </c>
      <c r="G1003" s="14" t="s">
        <v>198</v>
      </c>
    </row>
    <row r="1004" spans="1:7" x14ac:dyDescent="0.25">
      <c r="A1004" s="34" t="str">
        <f>"PIEZA 2264 SERIE A Nº 30"</f>
        <v>PIEZA 2264 SERIE A Nº 30</v>
      </c>
      <c r="B1004" s="2">
        <v>21</v>
      </c>
      <c r="C1004" s="2">
        <v>15</v>
      </c>
      <c r="D1004" s="11" t="str">
        <f t="shared" si="25"/>
        <v>UN</v>
      </c>
      <c r="E1004" s="12">
        <v>22.6875</v>
      </c>
      <c r="F1004" s="13">
        <v>0</v>
      </c>
      <c r="G1004" s="14" t="s">
        <v>198</v>
      </c>
    </row>
    <row r="1005" spans="1:7" x14ac:dyDescent="0.25">
      <c r="A1005" s="34" t="str">
        <f>"PIEZA 2264 SERIE A Nº 31"</f>
        <v>PIEZA 2264 SERIE A Nº 31</v>
      </c>
      <c r="B1005" s="2">
        <v>21</v>
      </c>
      <c r="C1005" s="2">
        <v>13</v>
      </c>
      <c r="D1005" s="11" t="str">
        <f t="shared" si="25"/>
        <v>UN</v>
      </c>
      <c r="E1005" s="12">
        <v>61.668750000000003</v>
      </c>
      <c r="F1005" s="13">
        <v>0</v>
      </c>
      <c r="G1005" s="14" t="s">
        <v>198</v>
      </c>
    </row>
    <row r="1006" spans="1:7" x14ac:dyDescent="0.25">
      <c r="A1006" s="34" t="str">
        <f>"PIEZA 2264 SERIE A Nº 32"</f>
        <v>PIEZA 2264 SERIE A Nº 32</v>
      </c>
      <c r="B1006" s="2">
        <v>21</v>
      </c>
      <c r="C1006" s="2">
        <v>23</v>
      </c>
      <c r="D1006" s="11" t="str">
        <f t="shared" si="25"/>
        <v>UN</v>
      </c>
      <c r="E1006" s="12">
        <v>34.787500000000009</v>
      </c>
      <c r="F1006" s="13">
        <v>0</v>
      </c>
      <c r="G1006" s="14" t="s">
        <v>198</v>
      </c>
    </row>
    <row r="1007" spans="1:7" x14ac:dyDescent="0.25">
      <c r="A1007" s="34" t="str">
        <f>"PIEZA 2264 SERIE A Nº 34+35"</f>
        <v>PIEZA 2264 SERIE A Nº 34+35</v>
      </c>
      <c r="B1007" s="2">
        <v>21</v>
      </c>
      <c r="C1007" s="2">
        <v>19</v>
      </c>
      <c r="D1007" s="11" t="str">
        <f t="shared" si="25"/>
        <v>UN</v>
      </c>
      <c r="E1007" s="12">
        <v>143.68750000000003</v>
      </c>
      <c r="F1007" s="13">
        <v>0</v>
      </c>
      <c r="G1007" s="14" t="s">
        <v>198</v>
      </c>
    </row>
    <row r="1008" spans="1:7" x14ac:dyDescent="0.25">
      <c r="A1008" s="34" t="str">
        <f>"PIEZA 2264 SERIE A Nº 38"</f>
        <v>PIEZA 2264 SERIE A Nº 38</v>
      </c>
      <c r="B1008" s="2">
        <v>21</v>
      </c>
      <c r="C1008" s="2">
        <v>10</v>
      </c>
      <c r="D1008" s="11" t="str">
        <f t="shared" si="25"/>
        <v>UN</v>
      </c>
      <c r="E1008" s="12">
        <v>12.375000000000002</v>
      </c>
      <c r="F1008" s="13">
        <v>0</v>
      </c>
      <c r="G1008" s="14" t="s">
        <v>198</v>
      </c>
    </row>
    <row r="1009" spans="1:7" x14ac:dyDescent="0.25">
      <c r="A1009" s="34" t="str">
        <f>"PIEZA 2264 SERIE A Nº 41"</f>
        <v>PIEZA 2264 SERIE A Nº 41</v>
      </c>
      <c r="B1009" s="2">
        <v>21</v>
      </c>
      <c r="C1009" s="2">
        <v>5</v>
      </c>
      <c r="D1009" s="11" t="str">
        <f t="shared" si="25"/>
        <v>UN</v>
      </c>
      <c r="E1009" s="12">
        <v>9.28125</v>
      </c>
      <c r="F1009" s="13">
        <v>0</v>
      </c>
      <c r="G1009" s="14" t="s">
        <v>198</v>
      </c>
    </row>
    <row r="1010" spans="1:7" x14ac:dyDescent="0.25">
      <c r="A1010" s="34" t="str">
        <f>"PIEZA 2264 SERIE A Nº 42"</f>
        <v>PIEZA 2264 SERIE A Nº 42</v>
      </c>
      <c r="B1010" s="2">
        <v>21</v>
      </c>
      <c r="C1010" s="2">
        <v>4</v>
      </c>
      <c r="D1010" s="11" t="str">
        <f t="shared" si="25"/>
        <v>UN</v>
      </c>
      <c r="E1010" s="12">
        <v>14.850000000000003</v>
      </c>
      <c r="F1010" s="13">
        <v>0</v>
      </c>
      <c r="G1010" s="14" t="s">
        <v>198</v>
      </c>
    </row>
    <row r="1011" spans="1:7" x14ac:dyDescent="0.25">
      <c r="A1011" s="34" t="str">
        <f>"PIEZA 2264 SERIE A Nº 43"</f>
        <v>PIEZA 2264 SERIE A Nº 43</v>
      </c>
      <c r="B1011" s="2">
        <v>21</v>
      </c>
      <c r="C1011" s="2">
        <v>29</v>
      </c>
      <c r="D1011" s="11" t="str">
        <f t="shared" si="25"/>
        <v>UN</v>
      </c>
      <c r="E1011" s="12">
        <v>25.918750000000006</v>
      </c>
      <c r="F1011" s="13">
        <v>0</v>
      </c>
      <c r="G1011" s="14" t="s">
        <v>198</v>
      </c>
    </row>
    <row r="1012" spans="1:7" x14ac:dyDescent="0.25">
      <c r="A1012" s="34" t="str">
        <f>"PIEZA 2264 SERIE A Nº 44"</f>
        <v>PIEZA 2264 SERIE A Nº 44</v>
      </c>
      <c r="B1012" s="2">
        <v>21</v>
      </c>
      <c r="C1012" s="2">
        <v>4</v>
      </c>
      <c r="D1012" s="11" t="str">
        <f t="shared" si="25"/>
        <v>UN</v>
      </c>
      <c r="E1012" s="12">
        <v>8.5250000000000004</v>
      </c>
      <c r="F1012" s="13">
        <v>0</v>
      </c>
      <c r="G1012" s="14" t="s">
        <v>198</v>
      </c>
    </row>
    <row r="1013" spans="1:7" x14ac:dyDescent="0.25">
      <c r="A1013" s="34" t="str">
        <f>"PIEZA 2264 SERIE A Nº 45"</f>
        <v>PIEZA 2264 SERIE A Nº 45</v>
      </c>
      <c r="B1013" s="2">
        <v>21</v>
      </c>
      <c r="C1013" s="2">
        <v>3</v>
      </c>
      <c r="D1013" s="11" t="str">
        <f t="shared" si="25"/>
        <v>UN</v>
      </c>
      <c r="E1013" s="12">
        <v>0</v>
      </c>
      <c r="F1013" s="13">
        <v>0</v>
      </c>
      <c r="G1013" s="14" t="s">
        <v>198</v>
      </c>
    </row>
    <row r="1014" spans="1:7" x14ac:dyDescent="0.25">
      <c r="A1014" s="34" t="str">
        <f>"PIEZA 2264 SERIE B Nº 10"</f>
        <v>PIEZA 2264 SERIE B Nº 10</v>
      </c>
      <c r="B1014" s="2">
        <v>21</v>
      </c>
      <c r="C1014" s="2">
        <v>2</v>
      </c>
      <c r="D1014" s="11" t="str">
        <f t="shared" si="25"/>
        <v>UN</v>
      </c>
      <c r="E1014" s="12">
        <v>1.6500000000000001</v>
      </c>
      <c r="F1014" s="13">
        <v>0</v>
      </c>
      <c r="G1014" s="14" t="s">
        <v>198</v>
      </c>
    </row>
    <row r="1015" spans="1:7" x14ac:dyDescent="0.25">
      <c r="A1015" s="34" t="str">
        <f>"PIEZA 2300 SERIE A Nº 24"</f>
        <v>PIEZA 2300 SERIE A Nº 24</v>
      </c>
      <c r="B1015" s="2">
        <v>21</v>
      </c>
      <c r="C1015" s="2">
        <v>1</v>
      </c>
      <c r="D1015" s="11" t="str">
        <f t="shared" si="25"/>
        <v>UN</v>
      </c>
      <c r="E1015" s="12">
        <v>5.0187500000000007</v>
      </c>
      <c r="F1015" s="13">
        <v>0</v>
      </c>
      <c r="G1015" s="14" t="s">
        <v>198</v>
      </c>
    </row>
    <row r="1016" spans="1:7" x14ac:dyDescent="0.25">
      <c r="A1016" s="34" t="str">
        <f>"PIEZA 2300 SERIE A Nº 25"</f>
        <v>PIEZA 2300 SERIE A Nº 25</v>
      </c>
      <c r="B1016" s="2">
        <v>21</v>
      </c>
      <c r="C1016" s="2">
        <v>1</v>
      </c>
      <c r="D1016" s="11" t="str">
        <f t="shared" si="25"/>
        <v>UN</v>
      </c>
      <c r="E1016" s="12">
        <v>2.0212500000000002</v>
      </c>
      <c r="F1016" s="13">
        <v>0</v>
      </c>
      <c r="G1016" s="14" t="s">
        <v>198</v>
      </c>
    </row>
    <row r="1017" spans="1:7" x14ac:dyDescent="0.25">
      <c r="A1017" s="34" t="str">
        <f>"PIEZA 2300 SERIE A Nº 27"</f>
        <v>PIEZA 2300 SERIE A Nº 27</v>
      </c>
      <c r="B1017" s="2">
        <v>21</v>
      </c>
      <c r="C1017" s="2">
        <v>1</v>
      </c>
      <c r="D1017" s="11" t="str">
        <f t="shared" si="25"/>
        <v>UN</v>
      </c>
      <c r="E1017" s="12">
        <v>13.557500000000001</v>
      </c>
      <c r="F1017" s="13">
        <v>0</v>
      </c>
      <c r="G1017" s="14" t="s">
        <v>198</v>
      </c>
    </row>
    <row r="1018" spans="1:7" x14ac:dyDescent="0.25">
      <c r="A1018" s="34" t="str">
        <f>"PIEZA 2305 SERIE A Nº 02"</f>
        <v>PIEZA 2305 SERIE A Nº 02</v>
      </c>
      <c r="B1018" s="2">
        <v>21</v>
      </c>
      <c r="C1018" s="2">
        <v>7</v>
      </c>
      <c r="D1018" s="11" t="str">
        <f t="shared" si="25"/>
        <v>UN</v>
      </c>
      <c r="E1018" s="12">
        <v>45.141249999999999</v>
      </c>
      <c r="F1018" s="13">
        <v>0</v>
      </c>
      <c r="G1018" s="14" t="s">
        <v>198</v>
      </c>
    </row>
    <row r="1019" spans="1:7" x14ac:dyDescent="0.25">
      <c r="A1019" s="34" t="str">
        <f>"PIEZA 2305 SERIE A Nº 05"</f>
        <v>PIEZA 2305 SERIE A Nº 05</v>
      </c>
      <c r="B1019" s="2">
        <v>21</v>
      </c>
      <c r="C1019" s="2">
        <v>2</v>
      </c>
      <c r="D1019" s="11" t="str">
        <f t="shared" si="25"/>
        <v>UN</v>
      </c>
      <c r="E1019" s="12">
        <v>20.900000000000002</v>
      </c>
      <c r="F1019" s="13">
        <v>0</v>
      </c>
      <c r="G1019" s="14" t="s">
        <v>198</v>
      </c>
    </row>
    <row r="1020" spans="1:7" x14ac:dyDescent="0.25">
      <c r="A1020" s="34" t="str">
        <f>"PIEZA 2305 SERIE B Nº 04"</f>
        <v>PIEZA 2305 SERIE B Nº 04</v>
      </c>
      <c r="B1020" s="2">
        <v>21</v>
      </c>
      <c r="C1020" s="2">
        <v>2</v>
      </c>
      <c r="D1020" s="11" t="str">
        <f t="shared" si="25"/>
        <v>UN</v>
      </c>
      <c r="E1020" s="12">
        <v>20.900000000000002</v>
      </c>
      <c r="F1020" s="13">
        <v>0</v>
      </c>
      <c r="G1020" s="14" t="s">
        <v>198</v>
      </c>
    </row>
    <row r="1021" spans="1:7" x14ac:dyDescent="0.25">
      <c r="A1021" s="34" t="str">
        <f>"PIEZA 2310 SERIE A Nº 44"</f>
        <v>PIEZA 2310 SERIE A Nº 44</v>
      </c>
      <c r="B1021" s="2">
        <v>21</v>
      </c>
      <c r="C1021" s="2">
        <v>1</v>
      </c>
      <c r="D1021" s="11" t="str">
        <f t="shared" si="25"/>
        <v>UN</v>
      </c>
      <c r="E1021" s="12">
        <v>5.7750000000000004</v>
      </c>
      <c r="F1021" s="13">
        <v>0</v>
      </c>
      <c r="G1021" s="14" t="s">
        <v>198</v>
      </c>
    </row>
    <row r="1022" spans="1:7" x14ac:dyDescent="0.25">
      <c r="A1022" s="34" t="str">
        <f>"PIEZA 2325 SERIE A Nº 11"</f>
        <v>PIEZA 2325 SERIE A Nº 11</v>
      </c>
      <c r="B1022" s="2">
        <v>21</v>
      </c>
      <c r="C1022" s="2">
        <v>1</v>
      </c>
      <c r="D1022" s="11" t="str">
        <f t="shared" si="25"/>
        <v>UN</v>
      </c>
      <c r="E1022" s="12">
        <v>40.5625</v>
      </c>
      <c r="F1022" s="13">
        <v>0</v>
      </c>
      <c r="G1022" s="14" t="s">
        <v>198</v>
      </c>
    </row>
    <row r="1023" spans="1:7" x14ac:dyDescent="0.25">
      <c r="A1023" s="34" t="str">
        <f>"PIEZA 2325 SERIE A Nº 12"</f>
        <v>PIEZA 2325 SERIE A Nº 12</v>
      </c>
      <c r="B1023" s="2">
        <v>21</v>
      </c>
      <c r="C1023" s="2">
        <v>2</v>
      </c>
      <c r="D1023" s="11" t="str">
        <f t="shared" si="25"/>
        <v>UN</v>
      </c>
      <c r="E1023" s="12">
        <v>39.462499999999999</v>
      </c>
      <c r="F1023" s="13">
        <v>0</v>
      </c>
      <c r="G1023" s="14" t="s">
        <v>198</v>
      </c>
    </row>
    <row r="1024" spans="1:7" x14ac:dyDescent="0.25">
      <c r="A1024" s="34" t="str">
        <f>"PIEZA 2325 SERIE A Nº 14"</f>
        <v>PIEZA 2325 SERIE A Nº 14</v>
      </c>
      <c r="B1024" s="2">
        <v>21</v>
      </c>
      <c r="C1024" s="2">
        <v>3</v>
      </c>
      <c r="D1024" s="11" t="str">
        <f t="shared" si="25"/>
        <v>UN</v>
      </c>
      <c r="E1024" s="12">
        <v>90.337499999999977</v>
      </c>
      <c r="F1024" s="13">
        <v>0</v>
      </c>
      <c r="G1024" s="14" t="s">
        <v>198</v>
      </c>
    </row>
    <row r="1025" spans="1:7" x14ac:dyDescent="0.25">
      <c r="A1025" s="34" t="str">
        <f>"PIEZA 2325 SERIE A Nº 15"</f>
        <v>PIEZA 2325 SERIE A Nº 15</v>
      </c>
      <c r="B1025" s="2">
        <v>21</v>
      </c>
      <c r="C1025" s="2">
        <v>6</v>
      </c>
      <c r="D1025" s="11" t="str">
        <f t="shared" si="25"/>
        <v>UN</v>
      </c>
      <c r="E1025" s="12">
        <v>28.38</v>
      </c>
      <c r="F1025" s="13">
        <v>0</v>
      </c>
      <c r="G1025" s="14" t="s">
        <v>198</v>
      </c>
    </row>
    <row r="1026" spans="1:7" x14ac:dyDescent="0.25">
      <c r="A1026" s="34" t="str">
        <f>"PIEZA 2325 SERIE A Nº 26"</f>
        <v>PIEZA 2325 SERIE A Nº 26</v>
      </c>
      <c r="B1026" s="2">
        <v>21</v>
      </c>
      <c r="C1026" s="2">
        <v>3</v>
      </c>
      <c r="D1026" s="11" t="str">
        <f t="shared" si="25"/>
        <v>UN</v>
      </c>
      <c r="E1026" s="12">
        <v>2.6812500000000008</v>
      </c>
      <c r="F1026" s="13">
        <v>0</v>
      </c>
      <c r="G1026" s="14" t="s">
        <v>198</v>
      </c>
    </row>
    <row r="1027" spans="1:7" x14ac:dyDescent="0.25">
      <c r="A1027" s="34" t="str">
        <f>"PIEZA 2325 SERIE A Nº 28"</f>
        <v>PIEZA 2325 SERIE A Nº 28</v>
      </c>
      <c r="B1027" s="2">
        <v>21</v>
      </c>
      <c r="C1027" s="2">
        <v>5</v>
      </c>
      <c r="D1027" s="11" t="str">
        <f t="shared" si="25"/>
        <v>UN</v>
      </c>
      <c r="E1027" s="12">
        <v>101.13125000000002</v>
      </c>
      <c r="F1027" s="13">
        <v>0</v>
      </c>
      <c r="G1027" s="14" t="s">
        <v>198</v>
      </c>
    </row>
    <row r="1028" spans="1:7" x14ac:dyDescent="0.25">
      <c r="A1028" s="34" t="str">
        <f>"PIEZA 2325 SERIE A Nº 30"</f>
        <v>PIEZA 2325 SERIE A Nº 30</v>
      </c>
      <c r="B1028" s="2">
        <v>21</v>
      </c>
      <c r="C1028" s="2">
        <v>3</v>
      </c>
      <c r="D1028" s="11" t="str">
        <f t="shared" si="25"/>
        <v>UN</v>
      </c>
      <c r="E1028" s="12">
        <v>1.8562500000000002</v>
      </c>
      <c r="F1028" s="13">
        <v>0</v>
      </c>
      <c r="G1028" s="14" t="s">
        <v>198</v>
      </c>
    </row>
    <row r="1029" spans="1:7" x14ac:dyDescent="0.25">
      <c r="A1029" s="34" t="str">
        <f>"PIEZA 2325 SERIE A Nº 31"</f>
        <v>PIEZA 2325 SERIE A Nº 31</v>
      </c>
      <c r="B1029" s="2">
        <v>21</v>
      </c>
      <c r="C1029" s="2">
        <v>1</v>
      </c>
      <c r="D1029" s="11" t="str">
        <f t="shared" si="25"/>
        <v>UN</v>
      </c>
      <c r="E1029" s="12">
        <v>34.65</v>
      </c>
      <c r="F1029" s="13">
        <v>0</v>
      </c>
      <c r="G1029" s="14" t="s">
        <v>198</v>
      </c>
    </row>
    <row r="1030" spans="1:7" x14ac:dyDescent="0.25">
      <c r="A1030" s="34" t="str">
        <f>"PIEZA 2325 SERIE A Nº 49"</f>
        <v>PIEZA 2325 SERIE A Nº 49</v>
      </c>
      <c r="B1030" s="2">
        <v>21</v>
      </c>
      <c r="C1030" s="2">
        <v>5</v>
      </c>
      <c r="D1030" s="11" t="str">
        <f t="shared" si="25"/>
        <v>UN</v>
      </c>
      <c r="E1030" s="12">
        <v>10.93125</v>
      </c>
      <c r="F1030" s="13">
        <v>0</v>
      </c>
      <c r="G1030" s="14" t="s">
        <v>198</v>
      </c>
    </row>
    <row r="1031" spans="1:7" x14ac:dyDescent="0.25">
      <c r="A1031" s="34" t="str">
        <f>"PIEZA 2325 SERIE A Nº 50"</f>
        <v>PIEZA 2325 SERIE A Nº 50</v>
      </c>
      <c r="B1031" s="2">
        <v>21</v>
      </c>
      <c r="C1031" s="2">
        <v>6</v>
      </c>
      <c r="D1031" s="11" t="str">
        <f t="shared" si="25"/>
        <v>UN</v>
      </c>
      <c r="E1031" s="12">
        <v>4.1250000000000009</v>
      </c>
      <c r="F1031" s="13">
        <v>0</v>
      </c>
      <c r="G1031" s="14" t="s">
        <v>198</v>
      </c>
    </row>
    <row r="1032" spans="1:7" x14ac:dyDescent="0.25">
      <c r="A1032" s="34" t="str">
        <f>"PIEZA 2325 SERIE A Nº 53"</f>
        <v>PIEZA 2325 SERIE A Nº 53</v>
      </c>
      <c r="B1032" s="2">
        <v>21</v>
      </c>
      <c r="C1032" s="2">
        <v>2</v>
      </c>
      <c r="D1032" s="11" t="str">
        <f t="shared" si="25"/>
        <v>UN</v>
      </c>
      <c r="E1032" s="12">
        <v>5.2799999999999994</v>
      </c>
      <c r="F1032" s="13">
        <v>0</v>
      </c>
      <c r="G1032" s="14" t="s">
        <v>198</v>
      </c>
    </row>
    <row r="1033" spans="1:7" x14ac:dyDescent="0.25">
      <c r="A1033" s="34" t="str">
        <f>"PIEZA 2325 SERIE B Nº 01"</f>
        <v>PIEZA 2325 SERIE B Nº 01</v>
      </c>
      <c r="B1033" s="2">
        <v>21</v>
      </c>
      <c r="C1033" s="2">
        <v>1</v>
      </c>
      <c r="D1033" s="11" t="str">
        <f t="shared" si="25"/>
        <v>UN</v>
      </c>
      <c r="E1033" s="12">
        <v>0.78374999999999995</v>
      </c>
      <c r="F1033" s="13">
        <v>0</v>
      </c>
      <c r="G1033" s="14" t="s">
        <v>198</v>
      </c>
    </row>
    <row r="1034" spans="1:7" x14ac:dyDescent="0.25">
      <c r="A1034" s="34" t="str">
        <f>"PIEZA 2325 SERIE B Nº 03"</f>
        <v>PIEZA 2325 SERIE B Nº 03</v>
      </c>
      <c r="B1034" s="2">
        <v>21</v>
      </c>
      <c r="C1034" s="2">
        <v>3</v>
      </c>
      <c r="D1034" s="11" t="str">
        <f t="shared" ref="D1034:D1097" si="26">"UN"</f>
        <v>UN</v>
      </c>
      <c r="E1034" s="12">
        <v>21.65625</v>
      </c>
      <c r="F1034" s="13">
        <v>0</v>
      </c>
      <c r="G1034" s="14" t="s">
        <v>198</v>
      </c>
    </row>
    <row r="1035" spans="1:7" x14ac:dyDescent="0.25">
      <c r="A1035" s="34" t="str">
        <f>"PIEZA 2325 SERIE B Nº 05"</f>
        <v>PIEZA 2325 SERIE B Nº 05</v>
      </c>
      <c r="B1035" s="2">
        <v>21</v>
      </c>
      <c r="C1035" s="2">
        <v>1</v>
      </c>
      <c r="D1035" s="11" t="str">
        <f t="shared" si="26"/>
        <v>UN</v>
      </c>
      <c r="E1035" s="12">
        <v>68.0625</v>
      </c>
      <c r="F1035" s="13">
        <v>0</v>
      </c>
      <c r="G1035" s="14" t="s">
        <v>198</v>
      </c>
    </row>
    <row r="1036" spans="1:7" x14ac:dyDescent="0.25">
      <c r="A1036" s="34" t="str">
        <f>"PIEZA 2325 SERIE B Nº 06"</f>
        <v>PIEZA 2325 SERIE B Nº 06</v>
      </c>
      <c r="B1036" s="2">
        <v>21</v>
      </c>
      <c r="C1036" s="2">
        <v>5</v>
      </c>
      <c r="D1036" s="11" t="str">
        <f t="shared" si="26"/>
        <v>UN</v>
      </c>
      <c r="E1036" s="12">
        <v>18.218750000000004</v>
      </c>
      <c r="F1036" s="13">
        <v>0</v>
      </c>
      <c r="G1036" s="14" t="s">
        <v>198</v>
      </c>
    </row>
    <row r="1037" spans="1:7" x14ac:dyDescent="0.25">
      <c r="A1037" s="34" t="str">
        <f>"PIEZA 2325 SERIE B Nº 07"</f>
        <v>PIEZA 2325 SERIE B Nº 07</v>
      </c>
      <c r="B1037" s="2">
        <v>21</v>
      </c>
      <c r="C1037" s="2">
        <v>1</v>
      </c>
      <c r="D1037" s="11" t="str">
        <f t="shared" si="26"/>
        <v>UN</v>
      </c>
      <c r="E1037" s="12">
        <v>33.13750000000001</v>
      </c>
      <c r="F1037" s="13">
        <v>0</v>
      </c>
      <c r="G1037" s="14" t="s">
        <v>198</v>
      </c>
    </row>
    <row r="1038" spans="1:7" x14ac:dyDescent="0.25">
      <c r="A1038" s="34" t="str">
        <f>"PIEZA 2325 SERIE B Nº 09"</f>
        <v>PIEZA 2325 SERIE B Nº 09</v>
      </c>
      <c r="B1038" s="2">
        <v>21</v>
      </c>
      <c r="C1038" s="2">
        <v>2</v>
      </c>
      <c r="D1038" s="11" t="str">
        <f t="shared" si="26"/>
        <v>UN</v>
      </c>
      <c r="E1038" s="12">
        <v>238.45249999999996</v>
      </c>
      <c r="F1038" s="13">
        <v>0</v>
      </c>
      <c r="G1038" s="14" t="s">
        <v>198</v>
      </c>
    </row>
    <row r="1039" spans="1:7" x14ac:dyDescent="0.25">
      <c r="A1039" s="34" t="str">
        <f>"PIEZA 2325 SERIE B Nº 10"</f>
        <v>PIEZA 2325 SERIE B Nº 10</v>
      </c>
      <c r="B1039" s="2">
        <v>21</v>
      </c>
      <c r="C1039" s="2">
        <v>5</v>
      </c>
      <c r="D1039" s="11" t="str">
        <f t="shared" si="26"/>
        <v>UN</v>
      </c>
      <c r="E1039" s="12">
        <v>31.281250000000004</v>
      </c>
      <c r="F1039" s="13">
        <v>0</v>
      </c>
      <c r="G1039" s="14" t="s">
        <v>198</v>
      </c>
    </row>
    <row r="1040" spans="1:7" x14ac:dyDescent="0.25">
      <c r="A1040" s="34" t="str">
        <f>"PIEZA 2325 SERIE B Nº 13B"</f>
        <v>PIEZA 2325 SERIE B Nº 13B</v>
      </c>
      <c r="B1040" s="2">
        <v>21</v>
      </c>
      <c r="C1040" s="2">
        <v>1</v>
      </c>
      <c r="D1040" s="11" t="str">
        <f t="shared" si="26"/>
        <v>UN</v>
      </c>
      <c r="E1040" s="12">
        <v>147.31750000000002</v>
      </c>
      <c r="F1040" s="13">
        <v>0</v>
      </c>
      <c r="G1040" s="14" t="s">
        <v>198</v>
      </c>
    </row>
    <row r="1041" spans="1:7" x14ac:dyDescent="0.25">
      <c r="A1041" s="34" t="str">
        <f>"PIEZA 2325 SERIE B Nº 27"</f>
        <v>PIEZA 2325 SERIE B Nº 27</v>
      </c>
      <c r="B1041" s="2">
        <v>21</v>
      </c>
      <c r="C1041" s="2">
        <v>1</v>
      </c>
      <c r="D1041" s="11" t="str">
        <f t="shared" si="26"/>
        <v>UN</v>
      </c>
      <c r="E1041" s="12">
        <v>0</v>
      </c>
      <c r="F1041" s="13">
        <v>0</v>
      </c>
      <c r="G1041" s="14" t="s">
        <v>198</v>
      </c>
    </row>
    <row r="1042" spans="1:7" x14ac:dyDescent="0.25">
      <c r="A1042" s="34" t="str">
        <f>"PIEZA 2325 SERIE B Nº 29"</f>
        <v>PIEZA 2325 SERIE B Nº 29</v>
      </c>
      <c r="B1042" s="2">
        <v>21</v>
      </c>
      <c r="C1042" s="2">
        <v>12</v>
      </c>
      <c r="D1042" s="11" t="str">
        <f t="shared" si="26"/>
        <v>UN</v>
      </c>
      <c r="E1042" s="12">
        <v>54.285000000000011</v>
      </c>
      <c r="F1042" s="13">
        <v>0</v>
      </c>
      <c r="G1042" s="14" t="s">
        <v>198</v>
      </c>
    </row>
    <row r="1043" spans="1:7" x14ac:dyDescent="0.25">
      <c r="A1043" s="34" t="str">
        <f>"PIEZA 2325 SERIE B Nº 42"</f>
        <v>PIEZA 2325 SERIE B Nº 42</v>
      </c>
      <c r="B1043" s="2">
        <v>21</v>
      </c>
      <c r="C1043" s="2">
        <v>1</v>
      </c>
      <c r="D1043" s="11" t="str">
        <f t="shared" si="26"/>
        <v>UN</v>
      </c>
      <c r="E1043" s="12">
        <v>1.0312500000000002</v>
      </c>
      <c r="F1043" s="13">
        <v>0</v>
      </c>
      <c r="G1043" s="14" t="s">
        <v>198</v>
      </c>
    </row>
    <row r="1044" spans="1:7" x14ac:dyDescent="0.25">
      <c r="A1044" s="34" t="str">
        <f>"PIEZA 2325 SERIE B Nº 44"</f>
        <v>PIEZA 2325 SERIE B Nº 44</v>
      </c>
      <c r="B1044" s="2">
        <v>21</v>
      </c>
      <c r="C1044" s="2">
        <v>1</v>
      </c>
      <c r="D1044" s="11" t="str">
        <f t="shared" si="26"/>
        <v>UN</v>
      </c>
      <c r="E1044" s="12">
        <v>5.0875000000000004</v>
      </c>
      <c r="F1044" s="13">
        <v>0</v>
      </c>
      <c r="G1044" s="14" t="s">
        <v>198</v>
      </c>
    </row>
    <row r="1045" spans="1:7" x14ac:dyDescent="0.25">
      <c r="A1045" s="34" t="str">
        <f>"PIEZA 2325 SERIE B Nº 48"</f>
        <v>PIEZA 2325 SERIE B Nº 48</v>
      </c>
      <c r="B1045" s="2">
        <v>21</v>
      </c>
      <c r="C1045" s="2">
        <v>1</v>
      </c>
      <c r="D1045" s="11" t="str">
        <f t="shared" si="26"/>
        <v>UN</v>
      </c>
      <c r="E1045" s="12">
        <v>2.1037500000000007</v>
      </c>
      <c r="F1045" s="13">
        <v>0</v>
      </c>
      <c r="G1045" s="14" t="s">
        <v>198</v>
      </c>
    </row>
    <row r="1046" spans="1:7" x14ac:dyDescent="0.25">
      <c r="A1046" s="34" t="str">
        <f>"PIEZA 2325 SERIE B Nº 52"</f>
        <v>PIEZA 2325 SERIE B Nº 52</v>
      </c>
      <c r="B1046" s="2">
        <v>21</v>
      </c>
      <c r="C1046" s="2">
        <v>3</v>
      </c>
      <c r="D1046" s="11" t="str">
        <f t="shared" si="26"/>
        <v>UN</v>
      </c>
      <c r="E1046" s="12">
        <v>82.293749999999989</v>
      </c>
      <c r="F1046" s="13">
        <v>0</v>
      </c>
      <c r="G1046" s="14" t="s">
        <v>198</v>
      </c>
    </row>
    <row r="1047" spans="1:7" x14ac:dyDescent="0.25">
      <c r="A1047" s="34" t="str">
        <f>"PIEZA 2325 SERIE B Nº 62"</f>
        <v>PIEZA 2325 SERIE B Nº 62</v>
      </c>
      <c r="B1047" s="2">
        <v>21</v>
      </c>
      <c r="C1047" s="2">
        <v>2</v>
      </c>
      <c r="D1047" s="11" t="str">
        <f t="shared" si="26"/>
        <v>UN</v>
      </c>
      <c r="E1047" s="12">
        <v>5.5550000000000006</v>
      </c>
      <c r="F1047" s="13">
        <v>0</v>
      </c>
      <c r="G1047" s="14" t="s">
        <v>198</v>
      </c>
    </row>
    <row r="1048" spans="1:7" x14ac:dyDescent="0.25">
      <c r="A1048" s="34" t="str">
        <f>"PIEZA 2330 SERIE A Nº 06"</f>
        <v>PIEZA 2330 SERIE A Nº 06</v>
      </c>
      <c r="B1048" s="2">
        <v>21</v>
      </c>
      <c r="C1048" s="2">
        <v>3</v>
      </c>
      <c r="D1048" s="11" t="str">
        <f t="shared" si="26"/>
        <v>UN</v>
      </c>
      <c r="E1048" s="12">
        <v>10.023750000000001</v>
      </c>
      <c r="F1048" s="13">
        <v>0</v>
      </c>
      <c r="G1048" s="14" t="s">
        <v>198</v>
      </c>
    </row>
    <row r="1049" spans="1:7" x14ac:dyDescent="0.25">
      <c r="A1049" s="34" t="str">
        <f>"PIEZA 2330 SERIE A Nº 06"</f>
        <v>PIEZA 2330 SERIE A Nº 06</v>
      </c>
      <c r="B1049" s="2">
        <v>21</v>
      </c>
      <c r="C1049" s="2">
        <v>1</v>
      </c>
      <c r="D1049" s="11" t="str">
        <f t="shared" si="26"/>
        <v>UN</v>
      </c>
      <c r="E1049" s="12">
        <v>1.1825000000000001</v>
      </c>
      <c r="F1049" s="13">
        <v>0</v>
      </c>
      <c r="G1049" s="14" t="s">
        <v>198</v>
      </c>
    </row>
    <row r="1050" spans="1:7" x14ac:dyDescent="0.25">
      <c r="A1050" s="34" t="str">
        <f>"PIEZA 2330 SERIE A Nº 07"</f>
        <v>PIEZA 2330 SERIE A Nº 07</v>
      </c>
      <c r="B1050" s="2">
        <v>21</v>
      </c>
      <c r="C1050" s="2">
        <v>2</v>
      </c>
      <c r="D1050" s="11" t="str">
        <f t="shared" si="26"/>
        <v>UN</v>
      </c>
      <c r="E1050" s="12">
        <v>12.567500000000003</v>
      </c>
      <c r="F1050" s="13">
        <v>0</v>
      </c>
      <c r="G1050" s="14" t="s">
        <v>198</v>
      </c>
    </row>
    <row r="1051" spans="1:7" x14ac:dyDescent="0.25">
      <c r="A1051" s="34" t="str">
        <f>"PIEZA 2330 SERIE A Nº 08"</f>
        <v>PIEZA 2330 SERIE A Nº 08</v>
      </c>
      <c r="B1051" s="2">
        <v>21</v>
      </c>
      <c r="C1051" s="2">
        <v>4</v>
      </c>
      <c r="D1051" s="11" t="str">
        <f t="shared" si="26"/>
        <v>UN</v>
      </c>
      <c r="E1051" s="12">
        <v>3.9050000000000002</v>
      </c>
      <c r="F1051" s="13">
        <v>0</v>
      </c>
      <c r="G1051" s="14" t="s">
        <v>198</v>
      </c>
    </row>
    <row r="1052" spans="1:7" x14ac:dyDescent="0.25">
      <c r="A1052" s="34" t="str">
        <f>"PIEZA 2330 SERIE C Nº 12"</f>
        <v>PIEZA 2330 SERIE C Nº 12</v>
      </c>
      <c r="B1052" s="2">
        <v>21</v>
      </c>
      <c r="C1052" s="2">
        <v>1</v>
      </c>
      <c r="D1052" s="11" t="str">
        <f t="shared" si="26"/>
        <v>UN</v>
      </c>
      <c r="E1052" s="12">
        <v>37.908750000000005</v>
      </c>
      <c r="F1052" s="13">
        <v>0</v>
      </c>
      <c r="G1052" s="14" t="s">
        <v>198</v>
      </c>
    </row>
    <row r="1053" spans="1:7" x14ac:dyDescent="0.25">
      <c r="A1053" s="34" t="str">
        <f>"PIEZA 2330 SERIE C Nº 14"</f>
        <v>PIEZA 2330 SERIE C Nº 14</v>
      </c>
      <c r="B1053" s="2">
        <v>21</v>
      </c>
      <c r="C1053" s="2">
        <v>1</v>
      </c>
      <c r="D1053" s="11" t="str">
        <f t="shared" si="26"/>
        <v>UN</v>
      </c>
      <c r="E1053" s="12">
        <v>4.3175000000000008</v>
      </c>
      <c r="F1053" s="13">
        <v>0</v>
      </c>
      <c r="G1053" s="14" t="s">
        <v>198</v>
      </c>
    </row>
    <row r="1054" spans="1:7" x14ac:dyDescent="0.25">
      <c r="A1054" s="34" t="str">
        <f>"PIEZA 2330 SERIE C Nº 32"</f>
        <v>PIEZA 2330 SERIE C Nº 32</v>
      </c>
      <c r="B1054" s="2">
        <v>21</v>
      </c>
      <c r="C1054" s="2">
        <v>8</v>
      </c>
      <c r="D1054" s="11" t="str">
        <f t="shared" si="26"/>
        <v>UN</v>
      </c>
      <c r="E1054" s="12">
        <v>215.27</v>
      </c>
      <c r="F1054" s="13">
        <v>0</v>
      </c>
      <c r="G1054" s="14" t="s">
        <v>198</v>
      </c>
    </row>
    <row r="1055" spans="1:7" x14ac:dyDescent="0.25">
      <c r="A1055" s="34" t="str">
        <f>"PIEZA 2330 SERIE C Nº 33"</f>
        <v>PIEZA 2330 SERIE C Nº 33</v>
      </c>
      <c r="B1055" s="2">
        <v>21</v>
      </c>
      <c r="C1055" s="2">
        <v>1</v>
      </c>
      <c r="D1055" s="11" t="str">
        <f t="shared" si="26"/>
        <v>UN</v>
      </c>
      <c r="E1055" s="12">
        <v>0.59124999999999994</v>
      </c>
      <c r="F1055" s="13">
        <v>0</v>
      </c>
      <c r="G1055" s="14" t="s">
        <v>198</v>
      </c>
    </row>
    <row r="1056" spans="1:7" x14ac:dyDescent="0.25">
      <c r="A1056" s="34" t="str">
        <f>"PIEZA 2350 SERIE A Nº 03"</f>
        <v>PIEZA 2350 SERIE A Nº 03</v>
      </c>
      <c r="B1056" s="2">
        <v>21</v>
      </c>
      <c r="C1056" s="2">
        <v>33</v>
      </c>
      <c r="D1056" s="11" t="str">
        <f t="shared" si="26"/>
        <v>UN</v>
      </c>
      <c r="E1056" s="12">
        <v>298.11374999999998</v>
      </c>
      <c r="F1056" s="13">
        <v>0</v>
      </c>
      <c r="G1056" s="14" t="s">
        <v>198</v>
      </c>
    </row>
    <row r="1057" spans="1:7" x14ac:dyDescent="0.25">
      <c r="A1057" s="34" t="str">
        <f>"PIEZA 2350 SERIE A Nº 06"</f>
        <v>PIEZA 2350 SERIE A Nº 06</v>
      </c>
      <c r="B1057" s="2">
        <v>21</v>
      </c>
      <c r="C1057" s="2">
        <v>5</v>
      </c>
      <c r="D1057" s="11" t="str">
        <f t="shared" si="26"/>
        <v>UN</v>
      </c>
      <c r="E1057" s="12">
        <v>11.756250000000003</v>
      </c>
      <c r="F1057" s="13">
        <v>0</v>
      </c>
      <c r="G1057" s="14" t="s">
        <v>198</v>
      </c>
    </row>
    <row r="1058" spans="1:7" x14ac:dyDescent="0.25">
      <c r="A1058" s="34" t="str">
        <f>"PIEZA 2350 SERIE A Nº 14"</f>
        <v>PIEZA 2350 SERIE A Nº 14</v>
      </c>
      <c r="B1058" s="2">
        <v>21</v>
      </c>
      <c r="C1058" s="2">
        <v>15</v>
      </c>
      <c r="D1058" s="11" t="str">
        <f t="shared" si="26"/>
        <v>UN</v>
      </c>
      <c r="E1058" s="12">
        <v>21.862500000000001</v>
      </c>
      <c r="F1058" s="13">
        <v>0</v>
      </c>
      <c r="G1058" s="14" t="s">
        <v>198</v>
      </c>
    </row>
    <row r="1059" spans="1:7" x14ac:dyDescent="0.25">
      <c r="A1059" s="34" t="str">
        <f>"PIEZA 2350 SERIE A Nº 15"</f>
        <v>PIEZA 2350 SERIE A Nº 15</v>
      </c>
      <c r="B1059" s="2">
        <v>21</v>
      </c>
      <c r="C1059" s="2">
        <v>1</v>
      </c>
      <c r="D1059" s="11" t="str">
        <f t="shared" si="26"/>
        <v>UN</v>
      </c>
      <c r="E1059" s="12">
        <v>14.231250000000003</v>
      </c>
      <c r="F1059" s="13">
        <v>0</v>
      </c>
      <c r="G1059" s="14" t="s">
        <v>198</v>
      </c>
    </row>
    <row r="1060" spans="1:7" x14ac:dyDescent="0.25">
      <c r="A1060" s="34" t="str">
        <f>"PIEZA 2350 SERIE A Nº 16"</f>
        <v>PIEZA 2350 SERIE A Nº 16</v>
      </c>
      <c r="B1060" s="2">
        <v>21</v>
      </c>
      <c r="C1060" s="2">
        <v>1</v>
      </c>
      <c r="D1060" s="11" t="str">
        <f t="shared" si="26"/>
        <v>UN</v>
      </c>
      <c r="E1060" s="12">
        <v>1.5812499999999998</v>
      </c>
      <c r="F1060" s="13">
        <v>0</v>
      </c>
      <c r="G1060" s="14" t="s">
        <v>198</v>
      </c>
    </row>
    <row r="1061" spans="1:7" x14ac:dyDescent="0.25">
      <c r="A1061" s="34" t="str">
        <f>"PIEZA 2350 SERIE A Nº 22"</f>
        <v>PIEZA 2350 SERIE A Nº 22</v>
      </c>
      <c r="B1061" s="2">
        <v>21</v>
      </c>
      <c r="C1061" s="2">
        <v>10</v>
      </c>
      <c r="D1061" s="11" t="str">
        <f t="shared" si="26"/>
        <v>UN</v>
      </c>
      <c r="E1061" s="12">
        <v>111.92500000000001</v>
      </c>
      <c r="F1061" s="13">
        <v>0</v>
      </c>
      <c r="G1061" s="14" t="s">
        <v>198</v>
      </c>
    </row>
    <row r="1062" spans="1:7" x14ac:dyDescent="0.25">
      <c r="A1062" s="34" t="str">
        <f>"PIEZA 2350 SERIE A Nº 24"</f>
        <v>PIEZA 2350 SERIE A Nº 24</v>
      </c>
      <c r="B1062" s="2">
        <v>21</v>
      </c>
      <c r="C1062" s="2">
        <v>1</v>
      </c>
      <c r="D1062" s="11" t="str">
        <f t="shared" si="26"/>
        <v>UN</v>
      </c>
      <c r="E1062" s="12">
        <v>4.5237500000000006</v>
      </c>
      <c r="F1062" s="13">
        <v>0</v>
      </c>
      <c r="G1062" s="14" t="s">
        <v>198</v>
      </c>
    </row>
    <row r="1063" spans="1:7" x14ac:dyDescent="0.25">
      <c r="A1063" s="34" t="str">
        <f>"PIEZA 2350 SERIE A Nº 26"</f>
        <v>PIEZA 2350 SERIE A Nº 26</v>
      </c>
      <c r="B1063" s="2">
        <v>21</v>
      </c>
      <c r="C1063" s="2">
        <v>5</v>
      </c>
      <c r="D1063" s="11" t="str">
        <f t="shared" si="26"/>
        <v>UN</v>
      </c>
      <c r="E1063" s="12">
        <v>11.756250000000001</v>
      </c>
      <c r="F1063" s="13">
        <v>0</v>
      </c>
      <c r="G1063" s="14" t="s">
        <v>198</v>
      </c>
    </row>
    <row r="1064" spans="1:7" x14ac:dyDescent="0.25">
      <c r="A1064" s="34" t="str">
        <f>"PIEZA 2350 SERIE A Nº 27"</f>
        <v>PIEZA 2350 SERIE A Nº 27</v>
      </c>
      <c r="B1064" s="2">
        <v>21</v>
      </c>
      <c r="C1064" s="2">
        <v>4</v>
      </c>
      <c r="D1064" s="11" t="str">
        <f t="shared" si="26"/>
        <v>UN</v>
      </c>
      <c r="E1064" s="12">
        <v>125.73</v>
      </c>
      <c r="F1064" s="13">
        <v>0</v>
      </c>
      <c r="G1064" s="14" t="s">
        <v>198</v>
      </c>
    </row>
    <row r="1065" spans="1:7" x14ac:dyDescent="0.25">
      <c r="A1065" s="34" t="str">
        <f>"PIEZA 2350 SERIE A Nº 30"</f>
        <v>PIEZA 2350 SERIE A Nº 30</v>
      </c>
      <c r="B1065" s="2">
        <v>21</v>
      </c>
      <c r="C1065" s="2">
        <v>1</v>
      </c>
      <c r="D1065" s="11" t="str">
        <f t="shared" si="26"/>
        <v>UN</v>
      </c>
      <c r="E1065" s="12">
        <v>22.385000000000002</v>
      </c>
      <c r="F1065" s="13">
        <v>0</v>
      </c>
      <c r="G1065" s="14" t="s">
        <v>198</v>
      </c>
    </row>
    <row r="1066" spans="1:7" x14ac:dyDescent="0.25">
      <c r="A1066" s="34" t="str">
        <f>"PIEZA 2350 SERIE A Nº 32"</f>
        <v>PIEZA 2350 SERIE A Nº 32</v>
      </c>
      <c r="B1066" s="2">
        <v>21</v>
      </c>
      <c r="C1066" s="2">
        <v>2</v>
      </c>
      <c r="D1066" s="11" t="str">
        <f t="shared" si="26"/>
        <v>UN</v>
      </c>
      <c r="E1066" s="12">
        <v>112.64000000000003</v>
      </c>
      <c r="F1066" s="13">
        <v>0</v>
      </c>
      <c r="G1066" s="14" t="s">
        <v>198</v>
      </c>
    </row>
    <row r="1067" spans="1:7" x14ac:dyDescent="0.25">
      <c r="A1067" s="34" t="str">
        <f>"PIEZA 2350 SERIE A Nº 33"</f>
        <v>PIEZA 2350 SERIE A Nº 33</v>
      </c>
      <c r="B1067" s="2">
        <v>21</v>
      </c>
      <c r="C1067" s="2">
        <v>3</v>
      </c>
      <c r="D1067" s="11" t="str">
        <f t="shared" si="26"/>
        <v>UN</v>
      </c>
      <c r="E1067" s="12">
        <v>7.0537499999999982</v>
      </c>
      <c r="F1067" s="13">
        <v>0</v>
      </c>
      <c r="G1067" s="14" t="s">
        <v>198</v>
      </c>
    </row>
    <row r="1068" spans="1:7" x14ac:dyDescent="0.25">
      <c r="A1068" s="34" t="str">
        <f>"PIEZA 2350 SERIE A Nº 34"</f>
        <v>PIEZA 2350 SERIE A Nº 34</v>
      </c>
      <c r="B1068" s="2">
        <v>21</v>
      </c>
      <c r="C1068" s="2">
        <v>1</v>
      </c>
      <c r="D1068" s="11" t="str">
        <f t="shared" si="26"/>
        <v>UN</v>
      </c>
      <c r="E1068" s="12">
        <v>0.59125000000000005</v>
      </c>
      <c r="F1068" s="13">
        <v>0</v>
      </c>
      <c r="G1068" s="14" t="s">
        <v>198</v>
      </c>
    </row>
    <row r="1069" spans="1:7" x14ac:dyDescent="0.25">
      <c r="A1069" s="34" t="str">
        <f>"PIEZA 2350 SERIE A Nº 37"</f>
        <v>PIEZA 2350 SERIE A Nº 37</v>
      </c>
      <c r="B1069" s="2">
        <v>21</v>
      </c>
      <c r="C1069" s="2">
        <v>3</v>
      </c>
      <c r="D1069" s="11" t="str">
        <f t="shared" si="26"/>
        <v>UN</v>
      </c>
      <c r="E1069" s="12">
        <v>33.577500000000001</v>
      </c>
      <c r="F1069" s="13">
        <v>0</v>
      </c>
      <c r="G1069" s="14" t="s">
        <v>198</v>
      </c>
    </row>
    <row r="1070" spans="1:7" x14ac:dyDescent="0.25">
      <c r="A1070" s="34" t="str">
        <f>"PIEZA 2350 SERIE A Nº 38"</f>
        <v>PIEZA 2350 SERIE A Nº 38</v>
      </c>
      <c r="B1070" s="2">
        <v>21</v>
      </c>
      <c r="C1070" s="2">
        <v>2</v>
      </c>
      <c r="D1070" s="11" t="str">
        <f t="shared" si="26"/>
        <v>UN</v>
      </c>
      <c r="E1070" s="12">
        <v>268.3175</v>
      </c>
      <c r="F1070" s="13">
        <v>0</v>
      </c>
      <c r="G1070" s="14" t="s">
        <v>198</v>
      </c>
    </row>
    <row r="1071" spans="1:7" x14ac:dyDescent="0.25">
      <c r="A1071" s="34" t="str">
        <f>"PIEZA 2350 SERIE A Nº 40"</f>
        <v>PIEZA 2350 SERIE A Nº 40</v>
      </c>
      <c r="B1071" s="2">
        <v>21</v>
      </c>
      <c r="C1071" s="2">
        <v>14</v>
      </c>
      <c r="D1071" s="11" t="str">
        <f t="shared" si="26"/>
        <v>UN</v>
      </c>
      <c r="E1071" s="12">
        <v>40.425000000000004</v>
      </c>
      <c r="F1071" s="13">
        <v>0</v>
      </c>
      <c r="G1071" s="14" t="s">
        <v>198</v>
      </c>
    </row>
    <row r="1072" spans="1:7" x14ac:dyDescent="0.25">
      <c r="A1072" s="34" t="str">
        <f>"PIEZA 2350 SERIE A Nº 41"</f>
        <v>PIEZA 2350 SERIE A Nº 41</v>
      </c>
      <c r="B1072" s="2">
        <v>21</v>
      </c>
      <c r="C1072" s="2">
        <v>29</v>
      </c>
      <c r="D1072" s="11" t="str">
        <f t="shared" si="26"/>
        <v>UN</v>
      </c>
      <c r="E1072" s="12">
        <v>42.267500000000005</v>
      </c>
      <c r="F1072" s="13">
        <v>0</v>
      </c>
      <c r="G1072" s="14" t="s">
        <v>198</v>
      </c>
    </row>
    <row r="1073" spans="1:7" x14ac:dyDescent="0.25">
      <c r="A1073" s="34" t="str">
        <f>"PIEZA 2350 SERIE B Nº 05"</f>
        <v>PIEZA 2350 SERIE B Nº 05</v>
      </c>
      <c r="B1073" s="2">
        <v>21</v>
      </c>
      <c r="C1073" s="2">
        <v>28</v>
      </c>
      <c r="D1073" s="11" t="str">
        <f t="shared" si="26"/>
        <v>UN</v>
      </c>
      <c r="E1073" s="12">
        <v>0</v>
      </c>
      <c r="F1073" s="13">
        <v>0</v>
      </c>
      <c r="G1073" s="14" t="s">
        <v>198</v>
      </c>
    </row>
    <row r="1074" spans="1:7" x14ac:dyDescent="0.25">
      <c r="A1074" s="34" t="str">
        <f>"PIEZA 2363 SERIE A  Nº 05"</f>
        <v>PIEZA 2363 SERIE A  Nº 05</v>
      </c>
      <c r="B1074" s="2">
        <v>21</v>
      </c>
      <c r="C1074" s="2">
        <v>14</v>
      </c>
      <c r="D1074" s="11" t="str">
        <f t="shared" si="26"/>
        <v>UN</v>
      </c>
      <c r="E1074" s="12">
        <v>15.400000000000002</v>
      </c>
      <c r="F1074" s="13">
        <v>0</v>
      </c>
      <c r="G1074" s="14" t="s">
        <v>198</v>
      </c>
    </row>
    <row r="1075" spans="1:7" x14ac:dyDescent="0.25">
      <c r="A1075" s="34" t="str">
        <f>"PIEZA 2363 SERIE A  Nº 06"</f>
        <v>PIEZA 2363 SERIE A  Nº 06</v>
      </c>
      <c r="B1075" s="2">
        <v>21</v>
      </c>
      <c r="C1075" s="2">
        <v>1</v>
      </c>
      <c r="D1075" s="11" t="str">
        <f t="shared" si="26"/>
        <v>UN</v>
      </c>
      <c r="E1075" s="12">
        <v>1.65</v>
      </c>
      <c r="F1075" s="13">
        <v>0</v>
      </c>
      <c r="G1075" s="14" t="s">
        <v>198</v>
      </c>
    </row>
    <row r="1076" spans="1:7" x14ac:dyDescent="0.25">
      <c r="A1076" s="34" t="str">
        <f>"PIEZA 2363 SERIE A  Nº 30"</f>
        <v>PIEZA 2363 SERIE A  Nº 30</v>
      </c>
      <c r="B1076" s="2">
        <v>21</v>
      </c>
      <c r="C1076" s="2">
        <v>3</v>
      </c>
      <c r="D1076" s="11" t="str">
        <f t="shared" si="26"/>
        <v>UN</v>
      </c>
      <c r="E1076" s="12">
        <v>25.575000000000006</v>
      </c>
      <c r="F1076" s="13">
        <v>0</v>
      </c>
      <c r="G1076" s="14" t="s">
        <v>198</v>
      </c>
    </row>
    <row r="1077" spans="1:7" x14ac:dyDescent="0.25">
      <c r="A1077" s="34" t="str">
        <f>"PIEZA 2363 SERIE A  Nº 38"</f>
        <v>PIEZA 2363 SERIE A  Nº 38</v>
      </c>
      <c r="B1077" s="2">
        <v>21</v>
      </c>
      <c r="C1077" s="2">
        <v>10</v>
      </c>
      <c r="D1077" s="11" t="str">
        <f t="shared" si="26"/>
        <v>UN</v>
      </c>
      <c r="E1077" s="12">
        <v>9.625</v>
      </c>
      <c r="F1077" s="13">
        <v>0</v>
      </c>
      <c r="G1077" s="14" t="s">
        <v>198</v>
      </c>
    </row>
    <row r="1078" spans="1:7" x14ac:dyDescent="0.25">
      <c r="A1078" s="34" t="str">
        <f>"PIEZA 2363 SERIE A  Nº 39"</f>
        <v>PIEZA 2363 SERIE A  Nº 39</v>
      </c>
      <c r="B1078" s="2">
        <v>21</v>
      </c>
      <c r="C1078" s="2">
        <v>10</v>
      </c>
      <c r="D1078" s="11" t="str">
        <f t="shared" si="26"/>
        <v>UN</v>
      </c>
      <c r="E1078" s="12">
        <v>9.625</v>
      </c>
      <c r="F1078" s="13">
        <v>0</v>
      </c>
      <c r="G1078" s="14" t="s">
        <v>198</v>
      </c>
    </row>
    <row r="1079" spans="1:7" x14ac:dyDescent="0.25">
      <c r="A1079" s="34" t="str">
        <f>"PIEZA 2363 SERIE A  Nº 40"</f>
        <v>PIEZA 2363 SERIE A  Nº 40</v>
      </c>
      <c r="B1079" s="2">
        <v>21</v>
      </c>
      <c r="C1079" s="2">
        <v>10</v>
      </c>
      <c r="D1079" s="11" t="str">
        <f t="shared" si="26"/>
        <v>UN</v>
      </c>
      <c r="E1079" s="12">
        <v>44</v>
      </c>
      <c r="F1079" s="13">
        <v>0</v>
      </c>
      <c r="G1079" s="14" t="s">
        <v>198</v>
      </c>
    </row>
    <row r="1080" spans="1:7" x14ac:dyDescent="0.25">
      <c r="A1080" s="34" t="str">
        <f>"PIEZA 2363 SERIE A Nº 09"</f>
        <v>PIEZA 2363 SERIE A Nº 09</v>
      </c>
      <c r="B1080" s="2">
        <v>21</v>
      </c>
      <c r="C1080" s="2">
        <v>2</v>
      </c>
      <c r="D1080" s="11" t="str">
        <f t="shared" si="26"/>
        <v>UN</v>
      </c>
      <c r="E1080" s="12">
        <v>246.40000000000003</v>
      </c>
      <c r="F1080" s="13">
        <v>0</v>
      </c>
      <c r="G1080" s="14" t="s">
        <v>198</v>
      </c>
    </row>
    <row r="1081" spans="1:7" x14ac:dyDescent="0.25">
      <c r="A1081" s="34" t="str">
        <f>"PIEZA 2363 SERIE A Nº 26"</f>
        <v>PIEZA 2363 SERIE A Nº 26</v>
      </c>
      <c r="B1081" s="2">
        <v>21</v>
      </c>
      <c r="C1081" s="2">
        <v>11</v>
      </c>
      <c r="D1081" s="11" t="str">
        <f t="shared" si="26"/>
        <v>UN</v>
      </c>
      <c r="E1081" s="12">
        <v>28.737500000000001</v>
      </c>
      <c r="F1081" s="13">
        <v>0</v>
      </c>
      <c r="G1081" s="14" t="s">
        <v>198</v>
      </c>
    </row>
    <row r="1082" spans="1:7" x14ac:dyDescent="0.25">
      <c r="A1082" s="34" t="str">
        <f>"PIEZA 2363 SERIE A Nº 28"</f>
        <v>PIEZA 2363 SERIE A Nº 28</v>
      </c>
      <c r="B1082" s="2">
        <v>21</v>
      </c>
      <c r="C1082" s="2">
        <v>5</v>
      </c>
      <c r="D1082" s="11" t="str">
        <f t="shared" si="26"/>
        <v>UN</v>
      </c>
      <c r="E1082" s="12">
        <v>12.375</v>
      </c>
      <c r="F1082" s="13">
        <v>0</v>
      </c>
      <c r="G1082" s="14" t="s">
        <v>198</v>
      </c>
    </row>
    <row r="1083" spans="1:7" x14ac:dyDescent="0.25">
      <c r="A1083" s="34" t="str">
        <f>"PIEZA 2363 SERIE A Nº 29"</f>
        <v>PIEZA 2363 SERIE A Nº 29</v>
      </c>
      <c r="B1083" s="2">
        <v>21</v>
      </c>
      <c r="C1083" s="2">
        <v>3</v>
      </c>
      <c r="D1083" s="11" t="str">
        <f t="shared" si="26"/>
        <v>UN</v>
      </c>
      <c r="E1083" s="12">
        <v>636.48750000000007</v>
      </c>
      <c r="F1083" s="13">
        <v>0</v>
      </c>
      <c r="G1083" s="14" t="s">
        <v>198</v>
      </c>
    </row>
    <row r="1084" spans="1:7" x14ac:dyDescent="0.25">
      <c r="A1084" s="34" t="str">
        <f>"PIEZA 2363 SERIE A Nº 34"</f>
        <v>PIEZA 2363 SERIE A Nº 34</v>
      </c>
      <c r="B1084" s="2">
        <v>21</v>
      </c>
      <c r="C1084" s="2">
        <v>4</v>
      </c>
      <c r="D1084" s="11" t="str">
        <f t="shared" si="26"/>
        <v>UN</v>
      </c>
      <c r="E1084" s="12">
        <v>16.500000000000004</v>
      </c>
      <c r="F1084" s="13">
        <v>0</v>
      </c>
      <c r="G1084" s="14" t="s">
        <v>198</v>
      </c>
    </row>
    <row r="1085" spans="1:7" x14ac:dyDescent="0.25">
      <c r="A1085" s="34" t="str">
        <f>"PIEZA 2363 SERIE A Nº 37"</f>
        <v>PIEZA 2363 SERIE A Nº 37</v>
      </c>
      <c r="B1085" s="2">
        <v>21</v>
      </c>
      <c r="C1085" s="2">
        <v>4</v>
      </c>
      <c r="D1085" s="11" t="str">
        <f t="shared" si="26"/>
        <v>UN</v>
      </c>
      <c r="E1085" s="12">
        <v>8.2500000000000018</v>
      </c>
      <c r="F1085" s="13">
        <v>0</v>
      </c>
      <c r="G1085" s="14" t="s">
        <v>198</v>
      </c>
    </row>
    <row r="1086" spans="1:7" x14ac:dyDescent="0.25">
      <c r="A1086" s="34" t="str">
        <f>"PIEZA 2405 SERIE A Nº 05"</f>
        <v>PIEZA 2405 SERIE A Nº 05</v>
      </c>
      <c r="B1086" s="2">
        <v>21</v>
      </c>
      <c r="C1086" s="2">
        <v>1</v>
      </c>
      <c r="D1086" s="11" t="str">
        <f t="shared" si="26"/>
        <v>UN</v>
      </c>
      <c r="E1086" s="12">
        <v>155.77375000000004</v>
      </c>
      <c r="F1086" s="13">
        <v>0</v>
      </c>
      <c r="G1086" s="14" t="s">
        <v>198</v>
      </c>
    </row>
    <row r="1087" spans="1:7" x14ac:dyDescent="0.25">
      <c r="A1087" s="34" t="str">
        <f>"PIEZA 2405 SERIE A Nº 11"</f>
        <v>PIEZA 2405 SERIE A Nº 11</v>
      </c>
      <c r="B1087" s="2">
        <v>21</v>
      </c>
      <c r="C1087" s="2">
        <v>5</v>
      </c>
      <c r="D1087" s="11" t="str">
        <f t="shared" si="26"/>
        <v>UN</v>
      </c>
      <c r="E1087" s="12">
        <v>4.125</v>
      </c>
      <c r="F1087" s="13">
        <v>0</v>
      </c>
      <c r="G1087" s="14" t="s">
        <v>198</v>
      </c>
    </row>
    <row r="1088" spans="1:7" x14ac:dyDescent="0.25">
      <c r="A1088" s="34" t="str">
        <f>"PIEZA 2405 SERIE A Nº 14"</f>
        <v>PIEZA 2405 SERIE A Nº 14</v>
      </c>
      <c r="B1088" s="2">
        <v>21</v>
      </c>
      <c r="C1088" s="2">
        <v>3</v>
      </c>
      <c r="D1088" s="11" t="str">
        <f t="shared" si="26"/>
        <v>UN</v>
      </c>
      <c r="E1088" s="12">
        <v>8.6625000000000014</v>
      </c>
      <c r="F1088" s="13">
        <v>0</v>
      </c>
      <c r="G1088" s="14" t="s">
        <v>198</v>
      </c>
    </row>
    <row r="1089" spans="1:7" x14ac:dyDescent="0.25">
      <c r="A1089" s="34" t="str">
        <f>"PIEZA 2405 SERIE A Nº 17"</f>
        <v>PIEZA 2405 SERIE A Nº 17</v>
      </c>
      <c r="B1089" s="2">
        <v>21</v>
      </c>
      <c r="C1089" s="2">
        <v>2</v>
      </c>
      <c r="D1089" s="11" t="str">
        <f t="shared" si="26"/>
        <v>UN</v>
      </c>
      <c r="E1089" s="12">
        <v>44.797499999999999</v>
      </c>
      <c r="F1089" s="13">
        <v>0</v>
      </c>
      <c r="G1089" s="14" t="s">
        <v>198</v>
      </c>
    </row>
    <row r="1090" spans="1:7" x14ac:dyDescent="0.25">
      <c r="A1090" s="34" t="str">
        <f>"PIEZA 2405 SERIE A Nº 19"</f>
        <v>PIEZA 2405 SERIE A Nº 19</v>
      </c>
      <c r="B1090" s="2">
        <v>21</v>
      </c>
      <c r="C1090" s="2">
        <v>2</v>
      </c>
      <c r="D1090" s="11" t="str">
        <f t="shared" si="26"/>
        <v>UN</v>
      </c>
      <c r="E1090" s="12">
        <v>0</v>
      </c>
      <c r="F1090" s="13">
        <v>0</v>
      </c>
      <c r="G1090" s="14" t="s">
        <v>198</v>
      </c>
    </row>
    <row r="1091" spans="1:7" x14ac:dyDescent="0.25">
      <c r="A1091" s="34" t="str">
        <f>"PIEZA 2405 SERIE A Nº 20"</f>
        <v>PIEZA 2405 SERIE A Nº 20</v>
      </c>
      <c r="B1091" s="2">
        <v>21</v>
      </c>
      <c r="C1091" s="2">
        <v>4</v>
      </c>
      <c r="D1091" s="11" t="str">
        <f t="shared" si="26"/>
        <v>UN</v>
      </c>
      <c r="E1091" s="12">
        <v>146.905</v>
      </c>
      <c r="F1091" s="13">
        <v>0</v>
      </c>
      <c r="G1091" s="14" t="s">
        <v>198</v>
      </c>
    </row>
    <row r="1092" spans="1:7" x14ac:dyDescent="0.25">
      <c r="A1092" s="34" t="str">
        <f>"PIEZA 2405 SERIE A Nº 22"</f>
        <v>PIEZA 2405 SERIE A Nº 22</v>
      </c>
      <c r="B1092" s="2">
        <v>21</v>
      </c>
      <c r="C1092" s="2">
        <v>1</v>
      </c>
      <c r="D1092" s="11" t="str">
        <f t="shared" si="26"/>
        <v>UN</v>
      </c>
      <c r="E1092" s="12">
        <v>3.1487500000000002</v>
      </c>
      <c r="F1092" s="13">
        <v>0</v>
      </c>
      <c r="G1092" s="14" t="s">
        <v>198</v>
      </c>
    </row>
    <row r="1093" spans="1:7" x14ac:dyDescent="0.25">
      <c r="A1093" s="34" t="str">
        <f>"PIEZA 2405 SERIE A Nº 31"</f>
        <v>PIEZA 2405 SERIE A Nº 31</v>
      </c>
      <c r="B1093" s="2">
        <v>21</v>
      </c>
      <c r="C1093" s="2">
        <v>1</v>
      </c>
      <c r="D1093" s="11" t="str">
        <f t="shared" si="26"/>
        <v>UN</v>
      </c>
      <c r="E1093" s="12">
        <v>24.681249999999999</v>
      </c>
      <c r="F1093" s="13">
        <v>0</v>
      </c>
      <c r="G1093" s="14" t="s">
        <v>198</v>
      </c>
    </row>
    <row r="1094" spans="1:7" x14ac:dyDescent="0.25">
      <c r="A1094" s="34" t="str">
        <f>"PIEZA 2405 SERIE A Nº 36"</f>
        <v>PIEZA 2405 SERIE A Nº 36</v>
      </c>
      <c r="B1094" s="2">
        <v>21</v>
      </c>
      <c r="C1094" s="2">
        <v>6</v>
      </c>
      <c r="D1094" s="11" t="str">
        <f t="shared" si="26"/>
        <v>UN</v>
      </c>
      <c r="E1094" s="12">
        <v>54.202499999999993</v>
      </c>
      <c r="F1094" s="13">
        <v>0</v>
      </c>
      <c r="G1094" s="14" t="s">
        <v>198</v>
      </c>
    </row>
    <row r="1095" spans="1:7" x14ac:dyDescent="0.25">
      <c r="A1095" s="34" t="str">
        <f>"PIEZA 2405 SERIE A Nº 40"</f>
        <v>PIEZA 2405 SERIE A Nº 40</v>
      </c>
      <c r="B1095" s="2">
        <v>21</v>
      </c>
      <c r="C1095" s="2">
        <v>1</v>
      </c>
      <c r="D1095" s="11" t="str">
        <f t="shared" si="26"/>
        <v>UN</v>
      </c>
      <c r="E1095" s="12">
        <v>28.32500000000001</v>
      </c>
      <c r="F1095" s="13">
        <v>0</v>
      </c>
      <c r="G1095" s="14" t="s">
        <v>198</v>
      </c>
    </row>
    <row r="1096" spans="1:7" x14ac:dyDescent="0.25">
      <c r="A1096" s="34" t="str">
        <f>"PIEZA 2407 SERIE A Nº 15"</f>
        <v>PIEZA 2407 SERIE A Nº 15</v>
      </c>
      <c r="B1096" s="2">
        <v>21</v>
      </c>
      <c r="C1096" s="2">
        <v>1</v>
      </c>
      <c r="D1096" s="11" t="str">
        <f t="shared" si="26"/>
        <v>UN</v>
      </c>
      <c r="E1096" s="12">
        <v>1.7875000000000003</v>
      </c>
      <c r="F1096" s="13">
        <v>0</v>
      </c>
      <c r="G1096" s="14" t="s">
        <v>198</v>
      </c>
    </row>
    <row r="1097" spans="1:7" x14ac:dyDescent="0.25">
      <c r="A1097" s="34" t="str">
        <f>"PIEZA 2407 SERIE A Nº 16"</f>
        <v>PIEZA 2407 SERIE A Nº 16</v>
      </c>
      <c r="B1097" s="2">
        <v>21</v>
      </c>
      <c r="C1097" s="2">
        <v>1</v>
      </c>
      <c r="D1097" s="11" t="str">
        <f t="shared" si="26"/>
        <v>UN</v>
      </c>
      <c r="E1097" s="12">
        <v>1.3750000000000002</v>
      </c>
      <c r="F1097" s="13">
        <v>0</v>
      </c>
      <c r="G1097" s="14" t="s">
        <v>198</v>
      </c>
    </row>
    <row r="1098" spans="1:7" x14ac:dyDescent="0.25">
      <c r="A1098" s="34" t="str">
        <f>"PIEZA 2407 SERIE C Nº 17"</f>
        <v>PIEZA 2407 SERIE C Nº 17</v>
      </c>
      <c r="B1098" s="2">
        <v>21</v>
      </c>
      <c r="C1098" s="2">
        <v>10</v>
      </c>
      <c r="D1098" s="11" t="str">
        <f t="shared" ref="D1098:D1161" si="27">"UN"</f>
        <v>UN</v>
      </c>
      <c r="E1098" s="12">
        <v>1259.5</v>
      </c>
      <c r="F1098" s="13">
        <v>0</v>
      </c>
      <c r="G1098" s="14" t="s">
        <v>198</v>
      </c>
    </row>
    <row r="1099" spans="1:7" x14ac:dyDescent="0.25">
      <c r="A1099" s="34" t="str">
        <f>"PIEZA 2420 SERIE B Nº 26"</f>
        <v>PIEZA 2420 SERIE B Nº 26</v>
      </c>
      <c r="B1099" s="2">
        <v>21</v>
      </c>
      <c r="C1099" s="2">
        <v>18</v>
      </c>
      <c r="D1099" s="11" t="str">
        <f t="shared" si="27"/>
        <v>UN</v>
      </c>
      <c r="E1099" s="12">
        <v>0</v>
      </c>
      <c r="F1099" s="13">
        <v>0</v>
      </c>
      <c r="G1099" s="14" t="s">
        <v>198</v>
      </c>
    </row>
    <row r="1100" spans="1:7" x14ac:dyDescent="0.25">
      <c r="A1100" s="34" t="str">
        <f>"PIEZA 2420 SERIE E Nº 14"</f>
        <v>PIEZA 2420 SERIE E Nº 14</v>
      </c>
      <c r="B1100" s="2">
        <v>21</v>
      </c>
      <c r="C1100" s="2">
        <v>3</v>
      </c>
      <c r="D1100" s="11" t="str">
        <f t="shared" si="27"/>
        <v>UN</v>
      </c>
      <c r="E1100" s="12">
        <v>0</v>
      </c>
      <c r="F1100" s="13">
        <v>0</v>
      </c>
      <c r="G1100" s="14" t="s">
        <v>198</v>
      </c>
    </row>
    <row r="1101" spans="1:7" x14ac:dyDescent="0.25">
      <c r="A1101" s="34" t="str">
        <f>"PIEZA 2420 SERIE E Nº 20"</f>
        <v>PIEZA 2420 SERIE E Nº 20</v>
      </c>
      <c r="B1101" s="2">
        <v>21</v>
      </c>
      <c r="C1101" s="2">
        <v>16</v>
      </c>
      <c r="D1101" s="11" t="str">
        <f t="shared" si="27"/>
        <v>UN</v>
      </c>
      <c r="E1101" s="12">
        <v>369.60000000000008</v>
      </c>
      <c r="F1101" s="13">
        <v>0</v>
      </c>
      <c r="G1101" s="14" t="s">
        <v>198</v>
      </c>
    </row>
    <row r="1102" spans="1:7" x14ac:dyDescent="0.25">
      <c r="A1102" s="34" t="str">
        <f>"PIEZA 2425 SERIE C Nº 25"</f>
        <v>PIEZA 2425 SERIE C Nº 25</v>
      </c>
      <c r="B1102" s="2">
        <v>21</v>
      </c>
      <c r="C1102" s="2">
        <v>2</v>
      </c>
      <c r="D1102" s="11" t="str">
        <f t="shared" si="27"/>
        <v>UN</v>
      </c>
      <c r="E1102" s="12">
        <v>1.9250000000000003</v>
      </c>
      <c r="F1102" s="13">
        <v>0</v>
      </c>
      <c r="G1102" s="14" t="s">
        <v>198</v>
      </c>
    </row>
    <row r="1103" spans="1:7" x14ac:dyDescent="0.25">
      <c r="A1103" s="34" t="str">
        <f>"PIEZA 2425 SERIE C Nº 28"</f>
        <v>PIEZA 2425 SERIE C Nº 28</v>
      </c>
      <c r="B1103" s="2">
        <v>21</v>
      </c>
      <c r="C1103" s="2">
        <v>3</v>
      </c>
      <c r="D1103" s="11" t="str">
        <f t="shared" si="27"/>
        <v>UN</v>
      </c>
      <c r="E1103" s="12">
        <v>32.174999999999997</v>
      </c>
      <c r="F1103" s="13">
        <v>0</v>
      </c>
      <c r="G1103" s="14" t="s">
        <v>198</v>
      </c>
    </row>
    <row r="1104" spans="1:7" x14ac:dyDescent="0.25">
      <c r="A1104" s="34" t="str">
        <f>"PIEZA 2425 SERIE C Nº 42"</f>
        <v>PIEZA 2425 SERIE C Nº 42</v>
      </c>
      <c r="B1104" s="2">
        <v>21</v>
      </c>
      <c r="C1104" s="2">
        <v>3</v>
      </c>
      <c r="D1104" s="11" t="str">
        <f t="shared" si="27"/>
        <v>UN</v>
      </c>
      <c r="E1104" s="12">
        <v>72.187500000000014</v>
      </c>
      <c r="F1104" s="13">
        <v>0</v>
      </c>
      <c r="G1104" s="14" t="s">
        <v>198</v>
      </c>
    </row>
    <row r="1105" spans="1:7" x14ac:dyDescent="0.25">
      <c r="A1105" s="34" t="str">
        <f>"PIEZA 2430 SERIE E Nº 20"</f>
        <v>PIEZA 2430 SERIE E Nº 20</v>
      </c>
      <c r="B1105" s="2">
        <v>21</v>
      </c>
      <c r="C1105" s="2">
        <v>2</v>
      </c>
      <c r="D1105" s="11" t="str">
        <f t="shared" si="27"/>
        <v>UN</v>
      </c>
      <c r="E1105" s="12">
        <v>46.2</v>
      </c>
      <c r="F1105" s="13">
        <v>0</v>
      </c>
      <c r="G1105" s="14" t="s">
        <v>198</v>
      </c>
    </row>
    <row r="1106" spans="1:7" x14ac:dyDescent="0.25">
      <c r="A1106" s="34" t="str">
        <f>"PIEZA 2435 SERIE A Nº 39"</f>
        <v>PIEZA 2435 SERIE A Nº 39</v>
      </c>
      <c r="B1106" s="2">
        <v>21</v>
      </c>
      <c r="C1106" s="2">
        <v>2</v>
      </c>
      <c r="D1106" s="11" t="str">
        <f t="shared" si="27"/>
        <v>UN</v>
      </c>
      <c r="E1106" s="12">
        <v>146.465</v>
      </c>
      <c r="F1106" s="13">
        <v>0</v>
      </c>
      <c r="G1106" s="14" t="s">
        <v>198</v>
      </c>
    </row>
    <row r="1107" spans="1:7" x14ac:dyDescent="0.25">
      <c r="A1107" s="34" t="str">
        <f>"PIEZA 2435 SERIE C Nº 13"</f>
        <v>PIEZA 2435 SERIE C Nº 13</v>
      </c>
      <c r="B1107" s="2">
        <v>21</v>
      </c>
      <c r="C1107" s="2">
        <v>1</v>
      </c>
      <c r="D1107" s="11" t="str">
        <f t="shared" si="27"/>
        <v>UN</v>
      </c>
      <c r="E1107" s="12">
        <v>0</v>
      </c>
      <c r="F1107" s="13">
        <v>0</v>
      </c>
      <c r="G1107" s="14" t="s">
        <v>198</v>
      </c>
    </row>
    <row r="1108" spans="1:7" x14ac:dyDescent="0.25">
      <c r="A1108" s="34" t="str">
        <f>"PIEZA 2450 SERIE A Nº 02"</f>
        <v>PIEZA 2450 SERIE A Nº 02</v>
      </c>
      <c r="B1108" s="2">
        <v>21</v>
      </c>
      <c r="C1108" s="2">
        <v>1</v>
      </c>
      <c r="D1108" s="11" t="str">
        <f t="shared" si="27"/>
        <v>UN</v>
      </c>
      <c r="E1108" s="12">
        <v>13.557500000000001</v>
      </c>
      <c r="F1108" s="13">
        <v>0</v>
      </c>
      <c r="G1108" s="14" t="s">
        <v>198</v>
      </c>
    </row>
    <row r="1109" spans="1:7" x14ac:dyDescent="0.25">
      <c r="A1109" s="34" t="str">
        <f>"PIEZA 2450 SERIE A Nº 03"</f>
        <v>PIEZA 2450 SERIE A Nº 03</v>
      </c>
      <c r="B1109" s="2">
        <v>21</v>
      </c>
      <c r="C1109" s="2">
        <v>2</v>
      </c>
      <c r="D1109" s="11" t="str">
        <f t="shared" si="27"/>
        <v>UN</v>
      </c>
      <c r="E1109" s="12">
        <v>18.067499999999999</v>
      </c>
      <c r="F1109" s="13">
        <v>0</v>
      </c>
      <c r="G1109" s="14" t="s">
        <v>198</v>
      </c>
    </row>
    <row r="1110" spans="1:7" x14ac:dyDescent="0.25">
      <c r="A1110" s="34" t="str">
        <f>"PIEZA 2453 SERIE B Nº 23"</f>
        <v>PIEZA 2453 SERIE B Nº 23</v>
      </c>
      <c r="B1110" s="2">
        <v>21</v>
      </c>
      <c r="C1110" s="2">
        <v>1</v>
      </c>
      <c r="D1110" s="11" t="str">
        <f t="shared" si="27"/>
        <v>UN</v>
      </c>
      <c r="E1110" s="12">
        <v>0</v>
      </c>
      <c r="F1110" s="13">
        <v>0</v>
      </c>
      <c r="G1110" s="14" t="s">
        <v>198</v>
      </c>
    </row>
    <row r="1111" spans="1:7" x14ac:dyDescent="0.25">
      <c r="A1111" s="34" t="str">
        <f>"PIEZA 2453 SERIE B Nº 24"</f>
        <v>PIEZA 2453 SERIE B Nº 24</v>
      </c>
      <c r="B1111" s="2">
        <v>21</v>
      </c>
      <c r="C1111" s="2">
        <v>6</v>
      </c>
      <c r="D1111" s="11" t="str">
        <f t="shared" si="27"/>
        <v>UN</v>
      </c>
      <c r="E1111" s="12">
        <v>0</v>
      </c>
      <c r="F1111" s="13">
        <v>0</v>
      </c>
      <c r="G1111" s="14" t="s">
        <v>198</v>
      </c>
    </row>
    <row r="1112" spans="1:7" x14ac:dyDescent="0.25">
      <c r="A1112" s="34" t="str">
        <f>"PIEZA 2453 SERIE C Nº 31"</f>
        <v>PIEZA 2453 SERIE C Nº 31</v>
      </c>
      <c r="B1112" s="2">
        <v>21</v>
      </c>
      <c r="C1112" s="2">
        <v>2</v>
      </c>
      <c r="D1112" s="11" t="str">
        <f t="shared" si="27"/>
        <v>UN</v>
      </c>
      <c r="E1112" s="12">
        <v>0</v>
      </c>
      <c r="F1112" s="13">
        <v>0</v>
      </c>
      <c r="G1112" s="14" t="s">
        <v>198</v>
      </c>
    </row>
    <row r="1113" spans="1:7" x14ac:dyDescent="0.25">
      <c r="A1113" s="34" t="str">
        <f>"PIEZA 2463 SERIE A Nº 35"</f>
        <v>PIEZA 2463 SERIE A Nº 35</v>
      </c>
      <c r="B1113" s="2">
        <v>21</v>
      </c>
      <c r="C1113" s="2">
        <v>1</v>
      </c>
      <c r="D1113" s="11" t="str">
        <f t="shared" si="27"/>
        <v>UN</v>
      </c>
      <c r="E1113" s="12">
        <v>23.375000000000004</v>
      </c>
      <c r="F1113" s="13">
        <v>0</v>
      </c>
      <c r="G1113" s="14" t="s">
        <v>198</v>
      </c>
    </row>
    <row r="1114" spans="1:7" x14ac:dyDescent="0.25">
      <c r="A1114" s="34" t="str">
        <f>"PIEZA 2463 SERIE C Nº 45"</f>
        <v>PIEZA 2463 SERIE C Nº 45</v>
      </c>
      <c r="B1114" s="2">
        <v>21</v>
      </c>
      <c r="C1114" s="2">
        <v>1</v>
      </c>
      <c r="D1114" s="11" t="str">
        <f t="shared" si="27"/>
        <v>UN</v>
      </c>
      <c r="E1114" s="12">
        <v>2.0625</v>
      </c>
      <c r="F1114" s="13">
        <v>0</v>
      </c>
      <c r="G1114" s="14" t="s">
        <v>198</v>
      </c>
    </row>
    <row r="1115" spans="1:7" x14ac:dyDescent="0.25">
      <c r="A1115" s="34" t="str">
        <f>"PIEZA 2479 / 2469 SERIE B Nº 21"</f>
        <v>PIEZA 2479 / 2469 SERIE B Nº 21</v>
      </c>
      <c r="B1115" s="2">
        <v>21</v>
      </c>
      <c r="C1115" s="2">
        <v>1</v>
      </c>
      <c r="D1115" s="11" t="str">
        <f t="shared" si="27"/>
        <v>UN</v>
      </c>
      <c r="E1115" s="12">
        <v>10.010000000000002</v>
      </c>
      <c r="F1115" s="13">
        <v>0</v>
      </c>
      <c r="G1115" s="14" t="s">
        <v>198</v>
      </c>
    </row>
    <row r="1116" spans="1:7" x14ac:dyDescent="0.25">
      <c r="A1116" s="34" t="str">
        <f>"PIEZA 2484 SERIE A Nº 29"</f>
        <v>PIEZA 2484 SERIE A Nº 29</v>
      </c>
      <c r="B1116" s="2">
        <v>21</v>
      </c>
      <c r="C1116" s="2">
        <v>1</v>
      </c>
      <c r="D1116" s="11" t="str">
        <f t="shared" si="27"/>
        <v>UN</v>
      </c>
      <c r="E1116" s="12">
        <v>0</v>
      </c>
      <c r="F1116" s="13">
        <v>0</v>
      </c>
      <c r="G1116" s="14" t="s">
        <v>198</v>
      </c>
    </row>
    <row r="1117" spans="1:7" x14ac:dyDescent="0.25">
      <c r="A1117" s="34" t="str">
        <f>"PIEZA 2484 SERIE A Nº 41"</f>
        <v>PIEZA 2484 SERIE A Nº 41</v>
      </c>
      <c r="B1117" s="2">
        <v>21</v>
      </c>
      <c r="C1117" s="2">
        <v>2</v>
      </c>
      <c r="D1117" s="11" t="str">
        <f t="shared" si="27"/>
        <v>UN</v>
      </c>
      <c r="E1117" s="12">
        <v>0</v>
      </c>
      <c r="F1117" s="13">
        <v>0</v>
      </c>
      <c r="G1117" s="14" t="s">
        <v>198</v>
      </c>
    </row>
    <row r="1118" spans="1:7" x14ac:dyDescent="0.25">
      <c r="A1118" s="34" t="str">
        <f>"PIEZA 2484 SERIE A Nº 54"</f>
        <v>PIEZA 2484 SERIE A Nº 54</v>
      </c>
      <c r="B1118" s="2">
        <v>21</v>
      </c>
      <c r="C1118" s="2">
        <v>2</v>
      </c>
      <c r="D1118" s="11" t="str">
        <f t="shared" si="27"/>
        <v>UN</v>
      </c>
      <c r="E1118" s="12">
        <v>0</v>
      </c>
      <c r="F1118" s="13">
        <v>0</v>
      </c>
      <c r="G1118" s="14" t="s">
        <v>198</v>
      </c>
    </row>
    <row r="1119" spans="1:7" x14ac:dyDescent="0.25">
      <c r="A1119" s="34" t="str">
        <f>"PIEZA 2484 SERIE A Nº 55"</f>
        <v>PIEZA 2484 SERIE A Nº 55</v>
      </c>
      <c r="B1119" s="2">
        <v>21</v>
      </c>
      <c r="C1119" s="2">
        <v>1</v>
      </c>
      <c r="D1119" s="11" t="str">
        <f t="shared" si="27"/>
        <v>UN</v>
      </c>
      <c r="E1119" s="12">
        <v>0</v>
      </c>
      <c r="F1119" s="13">
        <v>0</v>
      </c>
      <c r="G1119" s="14" t="s">
        <v>198</v>
      </c>
    </row>
    <row r="1120" spans="1:7" x14ac:dyDescent="0.25">
      <c r="A1120" s="34" t="str">
        <f>"PIEZA 2484 SERIE A Nº 56"</f>
        <v>PIEZA 2484 SERIE A Nº 56</v>
      </c>
      <c r="B1120" s="2">
        <v>21</v>
      </c>
      <c r="C1120" s="2">
        <v>3</v>
      </c>
      <c r="D1120" s="11" t="str">
        <f t="shared" si="27"/>
        <v>UN</v>
      </c>
      <c r="E1120" s="12">
        <v>0</v>
      </c>
      <c r="F1120" s="13">
        <v>0</v>
      </c>
      <c r="G1120" s="14" t="s">
        <v>198</v>
      </c>
    </row>
    <row r="1121" spans="1:7" x14ac:dyDescent="0.25">
      <c r="A1121" s="34" t="str">
        <f>"PIEZA 2484 SERIE A Nº 64"</f>
        <v>PIEZA 2484 SERIE A Nº 64</v>
      </c>
      <c r="B1121" s="2">
        <v>21</v>
      </c>
      <c r="C1121" s="2">
        <v>3</v>
      </c>
      <c r="D1121" s="11" t="str">
        <f t="shared" si="27"/>
        <v>UN</v>
      </c>
      <c r="E1121" s="12">
        <v>0</v>
      </c>
      <c r="F1121" s="13">
        <v>0</v>
      </c>
      <c r="G1121" s="14" t="s">
        <v>198</v>
      </c>
    </row>
    <row r="1122" spans="1:7" x14ac:dyDescent="0.25">
      <c r="A1122" s="34" t="str">
        <f>"PIEZA 2485 SERIE A Nº 02"</f>
        <v>PIEZA 2485 SERIE A Nº 02</v>
      </c>
      <c r="B1122" s="2">
        <v>21</v>
      </c>
      <c r="C1122" s="2">
        <v>2</v>
      </c>
      <c r="D1122" s="11" t="str">
        <f t="shared" si="27"/>
        <v>UN</v>
      </c>
      <c r="E1122" s="12">
        <v>19.112500000000004</v>
      </c>
      <c r="F1122" s="13">
        <v>0</v>
      </c>
      <c r="G1122" s="14" t="s">
        <v>198</v>
      </c>
    </row>
    <row r="1123" spans="1:7" x14ac:dyDescent="0.25">
      <c r="A1123" s="34" t="str">
        <f>"PIEZA 2485 SERIE A Nº 03"</f>
        <v>PIEZA 2485 SERIE A Nº 03</v>
      </c>
      <c r="B1123" s="2">
        <v>21</v>
      </c>
      <c r="C1123" s="2">
        <v>3</v>
      </c>
      <c r="D1123" s="11" t="str">
        <f t="shared" si="27"/>
        <v>UN</v>
      </c>
      <c r="E1123" s="12">
        <v>21.862500000000001</v>
      </c>
      <c r="F1123" s="13">
        <v>0</v>
      </c>
      <c r="G1123" s="14" t="s">
        <v>198</v>
      </c>
    </row>
    <row r="1124" spans="1:7" x14ac:dyDescent="0.25">
      <c r="A1124" s="34" t="str">
        <f>"PIEZA 2485 SERIE A Nº 04"</f>
        <v>PIEZA 2485 SERIE A Nº 04</v>
      </c>
      <c r="B1124" s="2">
        <v>21</v>
      </c>
      <c r="C1124" s="2">
        <v>4</v>
      </c>
      <c r="D1124" s="11" t="str">
        <f t="shared" si="27"/>
        <v>UN</v>
      </c>
      <c r="E1124" s="12">
        <v>14.300000000000002</v>
      </c>
      <c r="F1124" s="13">
        <v>0</v>
      </c>
      <c r="G1124" s="14" t="s">
        <v>198</v>
      </c>
    </row>
    <row r="1125" spans="1:7" x14ac:dyDescent="0.25">
      <c r="A1125" s="34" t="str">
        <f>"PIEZA 2485 SERIE A Nº 06"</f>
        <v>PIEZA 2485 SERIE A Nº 06</v>
      </c>
      <c r="B1125" s="2">
        <v>21</v>
      </c>
      <c r="C1125" s="2">
        <v>4</v>
      </c>
      <c r="D1125" s="11" t="str">
        <f t="shared" si="27"/>
        <v>UN</v>
      </c>
      <c r="E1125" s="12">
        <v>6.3249999999999993</v>
      </c>
      <c r="F1125" s="13">
        <v>0</v>
      </c>
      <c r="G1125" s="14" t="s">
        <v>198</v>
      </c>
    </row>
    <row r="1126" spans="1:7" x14ac:dyDescent="0.25">
      <c r="A1126" s="34" t="str">
        <f>"PIEZA 2485 SERIE A Nº 08"</f>
        <v>PIEZA 2485 SERIE A Nº 08</v>
      </c>
      <c r="B1126" s="2">
        <v>21</v>
      </c>
      <c r="C1126" s="2">
        <v>12</v>
      </c>
      <c r="D1126" s="11" t="str">
        <f t="shared" si="27"/>
        <v>UN</v>
      </c>
      <c r="E1126" s="12">
        <v>9.0750000000000011</v>
      </c>
      <c r="F1126" s="13">
        <v>0</v>
      </c>
      <c r="G1126" s="14" t="s">
        <v>198</v>
      </c>
    </row>
    <row r="1127" spans="1:7" x14ac:dyDescent="0.25">
      <c r="A1127" s="34" t="str">
        <f>"PIEZA 2485 SERIE A Nº 35"</f>
        <v>PIEZA 2485 SERIE A Nº 35</v>
      </c>
      <c r="B1127" s="2">
        <v>21</v>
      </c>
      <c r="C1127" s="2">
        <v>1</v>
      </c>
      <c r="D1127" s="11" t="str">
        <f t="shared" si="27"/>
        <v>UN</v>
      </c>
      <c r="E1127" s="12">
        <v>225.43124999999998</v>
      </c>
      <c r="F1127" s="13">
        <v>0</v>
      </c>
      <c r="G1127" s="14" t="s">
        <v>198</v>
      </c>
    </row>
    <row r="1128" spans="1:7" x14ac:dyDescent="0.25">
      <c r="A1128" s="34" t="str">
        <f>"PIEZA 2486 SERIE A Nº 42"</f>
        <v>PIEZA 2486 SERIE A Nº 42</v>
      </c>
      <c r="B1128" s="2">
        <v>21</v>
      </c>
      <c r="C1128" s="2">
        <v>3</v>
      </c>
      <c r="D1128" s="11" t="str">
        <f t="shared" si="27"/>
        <v>UN</v>
      </c>
      <c r="E1128" s="12">
        <v>0</v>
      </c>
      <c r="F1128" s="13">
        <v>0</v>
      </c>
      <c r="G1128" s="14" t="s">
        <v>198</v>
      </c>
    </row>
    <row r="1129" spans="1:7" x14ac:dyDescent="0.25">
      <c r="A1129" s="34" t="str">
        <f>"PIEZA 2490 SERIE A Nº 26"</f>
        <v>PIEZA 2490 SERIE A Nº 26</v>
      </c>
      <c r="B1129" s="2">
        <v>21</v>
      </c>
      <c r="C1129" s="2">
        <v>6</v>
      </c>
      <c r="D1129" s="11" t="str">
        <f t="shared" si="27"/>
        <v>UN</v>
      </c>
      <c r="E1129" s="12">
        <v>134.39250000000001</v>
      </c>
      <c r="F1129" s="13">
        <v>0</v>
      </c>
      <c r="G1129" s="14" t="s">
        <v>198</v>
      </c>
    </row>
    <row r="1130" spans="1:7" x14ac:dyDescent="0.25">
      <c r="A1130" s="34" t="str">
        <f>"PIEZA 3000 SERIE A Nº 20"</f>
        <v>PIEZA 3000 SERIE A Nº 20</v>
      </c>
      <c r="B1130" s="2">
        <v>21</v>
      </c>
      <c r="C1130" s="2">
        <v>9</v>
      </c>
      <c r="D1130" s="11" t="str">
        <f t="shared" si="27"/>
        <v>UN</v>
      </c>
      <c r="E1130" s="12">
        <v>298.98</v>
      </c>
      <c r="F1130" s="13">
        <v>0</v>
      </c>
      <c r="G1130" s="14" t="s">
        <v>198</v>
      </c>
    </row>
    <row r="1131" spans="1:7" x14ac:dyDescent="0.25">
      <c r="A1131" s="34" t="str">
        <f>"PIEZA 3000 SERIE A Nº 31"</f>
        <v>PIEZA 3000 SERIE A Nº 31</v>
      </c>
      <c r="B1131" s="2">
        <v>21</v>
      </c>
      <c r="C1131" s="2">
        <v>14</v>
      </c>
      <c r="D1131" s="11" t="str">
        <f t="shared" si="27"/>
        <v>UN</v>
      </c>
      <c r="E1131" s="12">
        <v>8.2775000000000016</v>
      </c>
      <c r="F1131" s="13">
        <v>0</v>
      </c>
      <c r="G1131" s="14" t="s">
        <v>198</v>
      </c>
    </row>
    <row r="1132" spans="1:7" x14ac:dyDescent="0.25">
      <c r="A1132" s="34" t="str">
        <f>"PIEZA 3000 SERIE A Nº 32"</f>
        <v>PIEZA 3000 SERIE A Nº 32</v>
      </c>
      <c r="B1132" s="2">
        <v>21</v>
      </c>
      <c r="C1132" s="2">
        <v>15</v>
      </c>
      <c r="D1132" s="11" t="str">
        <f t="shared" si="27"/>
        <v>UN</v>
      </c>
      <c r="E1132" s="12">
        <v>8.8687500000000021</v>
      </c>
      <c r="F1132" s="13">
        <v>0</v>
      </c>
      <c r="G1132" s="14" t="s">
        <v>198</v>
      </c>
    </row>
    <row r="1133" spans="1:7" x14ac:dyDescent="0.25">
      <c r="A1133" s="34" t="str">
        <f>"PIEZA 3000 SERIE A Nº 37"</f>
        <v>PIEZA 3000 SERIE A Nº 37</v>
      </c>
      <c r="B1133" s="2">
        <v>21</v>
      </c>
      <c r="C1133" s="2">
        <v>3</v>
      </c>
      <c r="D1133" s="11" t="str">
        <f t="shared" si="27"/>
        <v>UN</v>
      </c>
      <c r="E1133" s="12">
        <v>13.571250000000001</v>
      </c>
      <c r="F1133" s="13">
        <v>0</v>
      </c>
      <c r="G1133" s="14" t="s">
        <v>198</v>
      </c>
    </row>
    <row r="1134" spans="1:7" x14ac:dyDescent="0.25">
      <c r="A1134" s="34" t="str">
        <f>"PIEZA 3000 SERIE B Nº 20"</f>
        <v>PIEZA 3000 SERIE B Nº 20</v>
      </c>
      <c r="B1134" s="2">
        <v>21</v>
      </c>
      <c r="C1134" s="2">
        <v>10</v>
      </c>
      <c r="D1134" s="11" t="str">
        <f t="shared" si="27"/>
        <v>UN</v>
      </c>
      <c r="E1134" s="12">
        <v>5.9125000000000005</v>
      </c>
      <c r="F1134" s="13">
        <v>0</v>
      </c>
      <c r="G1134" s="14" t="s">
        <v>198</v>
      </c>
    </row>
    <row r="1135" spans="1:7" x14ac:dyDescent="0.25">
      <c r="A1135" s="34" t="str">
        <f>"PIEZA 3000 SERIE B Nº 22"</f>
        <v>PIEZA 3000 SERIE B Nº 22</v>
      </c>
      <c r="B1135" s="2">
        <v>21</v>
      </c>
      <c r="C1135" s="2">
        <v>8</v>
      </c>
      <c r="D1135" s="11" t="str">
        <f t="shared" si="27"/>
        <v>UN</v>
      </c>
      <c r="E1135" s="12">
        <v>83.38000000000001</v>
      </c>
      <c r="F1135" s="13">
        <v>0</v>
      </c>
      <c r="G1135" s="14" t="s">
        <v>198</v>
      </c>
    </row>
    <row r="1136" spans="1:7" x14ac:dyDescent="0.25">
      <c r="A1136" s="34" t="str">
        <f>"PIEZA 3000 SERIE B Nº 26"</f>
        <v>PIEZA 3000 SERIE B Nº 26</v>
      </c>
      <c r="B1136" s="2">
        <v>21</v>
      </c>
      <c r="C1136" s="2">
        <v>6</v>
      </c>
      <c r="D1136" s="11" t="str">
        <f t="shared" si="27"/>
        <v>UN</v>
      </c>
      <c r="E1136" s="12">
        <v>76.642500000000013</v>
      </c>
      <c r="F1136" s="13">
        <v>0</v>
      </c>
      <c r="G1136" s="14" t="s">
        <v>198</v>
      </c>
    </row>
    <row r="1137" spans="1:7" x14ac:dyDescent="0.25">
      <c r="A1137" s="34" t="str">
        <f>"PIEZA 3000 SERIE B Nº 31"</f>
        <v>PIEZA 3000 SERIE B Nº 31</v>
      </c>
      <c r="B1137" s="2">
        <v>21</v>
      </c>
      <c r="C1137" s="2">
        <v>1</v>
      </c>
      <c r="D1137" s="11" t="str">
        <f t="shared" si="27"/>
        <v>UN</v>
      </c>
      <c r="E1137" s="12">
        <v>1.7737500000000002</v>
      </c>
      <c r="F1137" s="13">
        <v>0</v>
      </c>
      <c r="G1137" s="14" t="s">
        <v>198</v>
      </c>
    </row>
    <row r="1138" spans="1:7" x14ac:dyDescent="0.25">
      <c r="A1138" s="34" t="str">
        <f>"PIEZA 3000 SERIE B Nº 32"</f>
        <v>PIEZA 3000 SERIE B Nº 32</v>
      </c>
      <c r="B1138" s="2">
        <v>21</v>
      </c>
      <c r="C1138" s="2">
        <v>2</v>
      </c>
      <c r="D1138" s="11" t="str">
        <f t="shared" si="27"/>
        <v>UN</v>
      </c>
      <c r="E1138" s="12">
        <v>1.9525000000000001</v>
      </c>
      <c r="F1138" s="13">
        <v>0</v>
      </c>
      <c r="G1138" s="14" t="s">
        <v>198</v>
      </c>
    </row>
    <row r="1139" spans="1:7" x14ac:dyDescent="0.25">
      <c r="A1139" s="34" t="str">
        <f>"PIEZA 3000 SERIE B Nº 34"</f>
        <v>PIEZA 3000 SERIE B Nº 34</v>
      </c>
      <c r="B1139" s="2">
        <v>21</v>
      </c>
      <c r="C1139" s="2">
        <v>9</v>
      </c>
      <c r="D1139" s="11" t="str">
        <f t="shared" si="27"/>
        <v>UN</v>
      </c>
      <c r="E1139" s="12">
        <v>13.117500000000001</v>
      </c>
      <c r="F1139" s="13">
        <v>0</v>
      </c>
      <c r="G1139" s="14" t="s">
        <v>198</v>
      </c>
    </row>
    <row r="1140" spans="1:7" x14ac:dyDescent="0.25">
      <c r="A1140" s="34" t="str">
        <f>"PIEZA 3000 SERIE C Nº 24"</f>
        <v>PIEZA 3000 SERIE C Nº 24</v>
      </c>
      <c r="B1140" s="2">
        <v>21</v>
      </c>
      <c r="C1140" s="2">
        <v>2</v>
      </c>
      <c r="D1140" s="11" t="str">
        <f t="shared" si="27"/>
        <v>UN</v>
      </c>
      <c r="E1140" s="12">
        <v>27.114999999999998</v>
      </c>
      <c r="F1140" s="13">
        <v>0</v>
      </c>
      <c r="G1140" s="14" t="s">
        <v>198</v>
      </c>
    </row>
    <row r="1141" spans="1:7" x14ac:dyDescent="0.25">
      <c r="A1141" s="34" t="str">
        <f>"PIEZA 3010 SERIE A Nº 16"</f>
        <v>PIEZA 3010 SERIE A Nº 16</v>
      </c>
      <c r="B1141" s="2">
        <v>21</v>
      </c>
      <c r="C1141" s="2">
        <v>11</v>
      </c>
      <c r="D1141" s="11" t="str">
        <f t="shared" si="27"/>
        <v>UN</v>
      </c>
      <c r="E1141" s="12">
        <v>160.32500000000002</v>
      </c>
      <c r="F1141" s="13">
        <v>0</v>
      </c>
      <c r="G1141" s="14" t="s">
        <v>198</v>
      </c>
    </row>
    <row r="1142" spans="1:7" x14ac:dyDescent="0.25">
      <c r="A1142" s="34" t="str">
        <f>"PIEZA 3010 SERIE A Nº 35"</f>
        <v>PIEZA 3010 SERIE A Nº 35</v>
      </c>
      <c r="B1142" s="2">
        <v>21</v>
      </c>
      <c r="C1142" s="2">
        <v>3</v>
      </c>
      <c r="D1142" s="11" t="str">
        <f t="shared" si="27"/>
        <v>UN</v>
      </c>
      <c r="E1142" s="12">
        <v>14.437499999999998</v>
      </c>
      <c r="F1142" s="13">
        <v>0</v>
      </c>
      <c r="G1142" s="14" t="s">
        <v>198</v>
      </c>
    </row>
    <row r="1143" spans="1:7" x14ac:dyDescent="0.25">
      <c r="A1143" s="34" t="str">
        <f>"PIEZA 3010 SERIE A Nº 36"</f>
        <v>PIEZA 3010 SERIE A Nº 36</v>
      </c>
      <c r="B1143" s="2">
        <v>21</v>
      </c>
      <c r="C1143" s="2">
        <v>5</v>
      </c>
      <c r="D1143" s="11" t="str">
        <f t="shared" si="27"/>
        <v>UN</v>
      </c>
      <c r="E1143" s="12">
        <v>109.31250000000001</v>
      </c>
      <c r="F1143" s="13">
        <v>0</v>
      </c>
      <c r="G1143" s="14" t="s">
        <v>198</v>
      </c>
    </row>
    <row r="1144" spans="1:7" x14ac:dyDescent="0.25">
      <c r="A1144" s="34" t="str">
        <f>"PIEZA 3010 SERIE A Nº 38"</f>
        <v>PIEZA 3010 SERIE A Nº 38</v>
      </c>
      <c r="B1144" s="2">
        <v>21</v>
      </c>
      <c r="C1144" s="2">
        <v>6</v>
      </c>
      <c r="D1144" s="11" t="str">
        <f t="shared" si="27"/>
        <v>UN</v>
      </c>
      <c r="E1144" s="12">
        <v>129.93750000000003</v>
      </c>
      <c r="F1144" s="13">
        <v>0</v>
      </c>
      <c r="G1144" s="14" t="s">
        <v>198</v>
      </c>
    </row>
    <row r="1145" spans="1:7" x14ac:dyDescent="0.25">
      <c r="A1145" s="34" t="str">
        <f>"PIEZA 3010 SERIE A Nº 39"</f>
        <v>PIEZA 3010 SERIE A Nº 39</v>
      </c>
      <c r="B1145" s="2">
        <v>21</v>
      </c>
      <c r="C1145" s="2">
        <v>7</v>
      </c>
      <c r="D1145" s="11" t="str">
        <f t="shared" si="27"/>
        <v>UN</v>
      </c>
      <c r="E1145" s="12">
        <v>101.0625</v>
      </c>
      <c r="F1145" s="13">
        <v>0</v>
      </c>
      <c r="G1145" s="14" t="s">
        <v>198</v>
      </c>
    </row>
    <row r="1146" spans="1:7" x14ac:dyDescent="0.25">
      <c r="A1146" s="34" t="str">
        <f>"PIEZA 3010 SERIE A Nº 40"</f>
        <v>PIEZA 3010 SERIE A Nº 40</v>
      </c>
      <c r="B1146" s="2">
        <v>21</v>
      </c>
      <c r="C1146" s="2">
        <v>8</v>
      </c>
      <c r="D1146" s="11" t="str">
        <f t="shared" si="27"/>
        <v>UN</v>
      </c>
      <c r="E1146" s="12">
        <v>18.810000000000002</v>
      </c>
      <c r="F1146" s="13">
        <v>0</v>
      </c>
      <c r="G1146" s="14" t="s">
        <v>198</v>
      </c>
    </row>
    <row r="1147" spans="1:7" x14ac:dyDescent="0.25">
      <c r="A1147" s="34" t="str">
        <f>"PIEZA 3010 SERIE A Nº 45"</f>
        <v>PIEZA 3010 SERIE A Nº 45</v>
      </c>
      <c r="B1147" s="2">
        <v>21</v>
      </c>
      <c r="C1147" s="2">
        <v>44</v>
      </c>
      <c r="D1147" s="11" t="str">
        <f t="shared" si="27"/>
        <v>UN</v>
      </c>
      <c r="E1147" s="12">
        <v>1149.5</v>
      </c>
      <c r="F1147" s="13">
        <v>0</v>
      </c>
      <c r="G1147" s="14" t="s">
        <v>198</v>
      </c>
    </row>
    <row r="1148" spans="1:7" x14ac:dyDescent="0.25">
      <c r="A1148" s="34" t="str">
        <f>"PIEZA 3010 SERIE A Nº 48"</f>
        <v>PIEZA 3010 SERIE A Nº 48</v>
      </c>
      <c r="B1148" s="2">
        <v>21</v>
      </c>
      <c r="C1148" s="2">
        <v>3</v>
      </c>
      <c r="D1148" s="11" t="str">
        <f t="shared" si="27"/>
        <v>UN</v>
      </c>
      <c r="E1148" s="12">
        <v>1.6500000000000008</v>
      </c>
      <c r="F1148" s="13">
        <v>0</v>
      </c>
      <c r="G1148" s="14" t="s">
        <v>198</v>
      </c>
    </row>
    <row r="1149" spans="1:7" x14ac:dyDescent="0.25">
      <c r="A1149" s="34" t="str">
        <f>"PIEZA 3010 SERIE A Nº 49"</f>
        <v>PIEZA 3010 SERIE A Nº 49</v>
      </c>
      <c r="B1149" s="2">
        <v>21</v>
      </c>
      <c r="C1149" s="2">
        <v>4</v>
      </c>
      <c r="D1149" s="11" t="str">
        <f t="shared" si="27"/>
        <v>UN</v>
      </c>
      <c r="E1149" s="12">
        <v>19.250000000000004</v>
      </c>
      <c r="F1149" s="13">
        <v>0</v>
      </c>
      <c r="G1149" s="14" t="s">
        <v>198</v>
      </c>
    </row>
    <row r="1150" spans="1:7" x14ac:dyDescent="0.25">
      <c r="A1150" s="34" t="str">
        <f>"PIEZA 3010 SERIE A Nº 51"</f>
        <v>PIEZA 3010 SERIE A Nº 51</v>
      </c>
      <c r="B1150" s="2">
        <v>21</v>
      </c>
      <c r="C1150" s="2">
        <v>2</v>
      </c>
      <c r="D1150" s="11" t="str">
        <f t="shared" si="27"/>
        <v>UN</v>
      </c>
      <c r="E1150" s="12">
        <v>6.0500000000000007</v>
      </c>
      <c r="F1150" s="13">
        <v>0</v>
      </c>
      <c r="G1150" s="14" t="s">
        <v>198</v>
      </c>
    </row>
    <row r="1151" spans="1:7" x14ac:dyDescent="0.25">
      <c r="A1151" s="34" t="str">
        <f>"PIEZA 3010 SERIE C Nº 25"</f>
        <v>PIEZA 3010 SERIE C Nº 25</v>
      </c>
      <c r="B1151" s="2">
        <v>21</v>
      </c>
      <c r="C1151" s="2">
        <v>2</v>
      </c>
      <c r="D1151" s="11" t="str">
        <f t="shared" si="27"/>
        <v>UN</v>
      </c>
      <c r="E1151" s="12">
        <v>9.2125000000000004</v>
      </c>
      <c r="F1151" s="13">
        <v>0</v>
      </c>
      <c r="G1151" s="14" t="s">
        <v>198</v>
      </c>
    </row>
    <row r="1152" spans="1:7" x14ac:dyDescent="0.25">
      <c r="A1152" s="34" t="str">
        <f>"PIEZA 3015 SERIE B Nº 45"</f>
        <v>PIEZA 3015 SERIE B Nº 45</v>
      </c>
      <c r="B1152" s="2">
        <v>21</v>
      </c>
      <c r="C1152" s="2">
        <v>4</v>
      </c>
      <c r="D1152" s="11" t="str">
        <f t="shared" si="27"/>
        <v>UN</v>
      </c>
      <c r="E1152" s="12">
        <v>112.75</v>
      </c>
      <c r="F1152" s="13">
        <v>0</v>
      </c>
      <c r="G1152" s="14" t="s">
        <v>198</v>
      </c>
    </row>
    <row r="1153" spans="1:7" x14ac:dyDescent="0.25">
      <c r="A1153" s="34" t="str">
        <f>"PIEZA 3060 SERIE A Nº 01"</f>
        <v>PIEZA 3060 SERIE A Nº 01</v>
      </c>
      <c r="B1153" s="2">
        <v>21</v>
      </c>
      <c r="C1153" s="2">
        <v>2</v>
      </c>
      <c r="D1153" s="11" t="str">
        <f t="shared" si="27"/>
        <v>UN</v>
      </c>
      <c r="E1153" s="12">
        <v>20.350000000000001</v>
      </c>
      <c r="F1153" s="13">
        <v>0</v>
      </c>
      <c r="G1153" s="14" t="s">
        <v>198</v>
      </c>
    </row>
    <row r="1154" spans="1:7" x14ac:dyDescent="0.25">
      <c r="A1154" s="34" t="str">
        <f>"PIEZA 3060 SERIE A Nº 02"</f>
        <v>PIEZA 3060 SERIE A Nº 02</v>
      </c>
      <c r="B1154" s="2">
        <v>21</v>
      </c>
      <c r="C1154" s="2">
        <v>4</v>
      </c>
      <c r="D1154" s="11" t="str">
        <f t="shared" si="27"/>
        <v>UN</v>
      </c>
      <c r="E1154" s="12">
        <v>3.5750000000000006</v>
      </c>
      <c r="F1154" s="13">
        <v>0</v>
      </c>
      <c r="G1154" s="14" t="s">
        <v>198</v>
      </c>
    </row>
    <row r="1155" spans="1:7" x14ac:dyDescent="0.25">
      <c r="A1155" s="34" t="str">
        <f>"PIEZA 3060 SERIE A Nº 03"</f>
        <v>PIEZA 3060 SERIE A Nº 03</v>
      </c>
      <c r="B1155" s="2">
        <v>21</v>
      </c>
      <c r="C1155" s="2">
        <v>2</v>
      </c>
      <c r="D1155" s="11" t="str">
        <f t="shared" si="27"/>
        <v>UN</v>
      </c>
      <c r="E1155" s="12">
        <v>10.175000000000001</v>
      </c>
      <c r="F1155" s="13">
        <v>0</v>
      </c>
      <c r="G1155" s="14" t="s">
        <v>198</v>
      </c>
    </row>
    <row r="1156" spans="1:7" x14ac:dyDescent="0.25">
      <c r="A1156" s="34" t="str">
        <f>"PIEZA 3060 SERIE A Nº 04"</f>
        <v>PIEZA 3060 SERIE A Nº 04</v>
      </c>
      <c r="B1156" s="2">
        <v>21</v>
      </c>
      <c r="C1156" s="2">
        <v>4</v>
      </c>
      <c r="D1156" s="11" t="str">
        <f t="shared" si="27"/>
        <v>UN</v>
      </c>
      <c r="E1156" s="12">
        <v>6.6</v>
      </c>
      <c r="F1156" s="13">
        <v>0</v>
      </c>
      <c r="G1156" s="14" t="s">
        <v>198</v>
      </c>
    </row>
    <row r="1157" spans="1:7" x14ac:dyDescent="0.25">
      <c r="A1157" s="34" t="str">
        <f>"PIEZA 3060 SERIE A Nº 06"</f>
        <v>PIEZA 3060 SERIE A Nº 06</v>
      </c>
      <c r="B1157" s="2">
        <v>21</v>
      </c>
      <c r="C1157" s="2">
        <v>2</v>
      </c>
      <c r="D1157" s="11" t="str">
        <f t="shared" si="27"/>
        <v>UN</v>
      </c>
      <c r="E1157" s="12">
        <v>5.5550000000000006</v>
      </c>
      <c r="F1157" s="13">
        <v>0</v>
      </c>
      <c r="G1157" s="14" t="s">
        <v>198</v>
      </c>
    </row>
    <row r="1158" spans="1:7" x14ac:dyDescent="0.25">
      <c r="A1158" s="34" t="str">
        <f>"PIEZA 3060 SERIE A Nº 07"</f>
        <v>PIEZA 3060 SERIE A Nº 07</v>
      </c>
      <c r="B1158" s="2">
        <v>21</v>
      </c>
      <c r="C1158" s="2">
        <v>6</v>
      </c>
      <c r="D1158" s="11" t="str">
        <f t="shared" si="27"/>
        <v>UN</v>
      </c>
      <c r="E1158" s="12">
        <v>4.9499999999999993</v>
      </c>
      <c r="F1158" s="13">
        <v>0</v>
      </c>
      <c r="G1158" s="14" t="s">
        <v>198</v>
      </c>
    </row>
    <row r="1159" spans="1:7" x14ac:dyDescent="0.25">
      <c r="A1159" s="34" t="str">
        <f>"PIEZA 3060 SERIE A Nº 08"</f>
        <v>PIEZA 3060 SERIE A Nº 08</v>
      </c>
      <c r="B1159" s="2">
        <v>21</v>
      </c>
      <c r="C1159" s="2">
        <v>1</v>
      </c>
      <c r="D1159" s="11" t="str">
        <f t="shared" si="27"/>
        <v>UN</v>
      </c>
      <c r="E1159" s="12">
        <v>1.1000000000000001</v>
      </c>
      <c r="F1159" s="13">
        <v>0</v>
      </c>
      <c r="G1159" s="14" t="s">
        <v>198</v>
      </c>
    </row>
    <row r="1160" spans="1:7" x14ac:dyDescent="0.25">
      <c r="A1160" s="34" t="str">
        <f>"PIEZA 3060 SERIE A Nº 09"</f>
        <v>PIEZA 3060 SERIE A Nº 09</v>
      </c>
      <c r="B1160" s="2">
        <v>21</v>
      </c>
      <c r="C1160" s="2">
        <v>4</v>
      </c>
      <c r="D1160" s="11" t="str">
        <f t="shared" si="27"/>
        <v>UN</v>
      </c>
      <c r="E1160" s="12">
        <v>4.4000000000000004</v>
      </c>
      <c r="F1160" s="13">
        <v>0</v>
      </c>
      <c r="G1160" s="14" t="s">
        <v>198</v>
      </c>
    </row>
    <row r="1161" spans="1:7" x14ac:dyDescent="0.25">
      <c r="A1161" s="34" t="str">
        <f>"PIEZA 3060 SERIE A Nº 10"</f>
        <v>PIEZA 3060 SERIE A Nº 10</v>
      </c>
      <c r="B1161" s="2">
        <v>21</v>
      </c>
      <c r="C1161" s="2">
        <v>2</v>
      </c>
      <c r="D1161" s="11" t="str">
        <f t="shared" si="27"/>
        <v>UN</v>
      </c>
      <c r="E1161" s="12">
        <v>15.125000000000002</v>
      </c>
      <c r="F1161" s="13">
        <v>0</v>
      </c>
      <c r="G1161" s="14" t="s">
        <v>198</v>
      </c>
    </row>
    <row r="1162" spans="1:7" x14ac:dyDescent="0.25">
      <c r="A1162" s="34" t="str">
        <f>"PIEZA 3060 SERIE A Nº 11"</f>
        <v>PIEZA 3060 SERIE A Nº 11</v>
      </c>
      <c r="B1162" s="2">
        <v>21</v>
      </c>
      <c r="C1162" s="2">
        <v>5</v>
      </c>
      <c r="D1162" s="11" t="str">
        <f t="shared" ref="D1162:D1225" si="28">"UN"</f>
        <v>UN</v>
      </c>
      <c r="E1162" s="12">
        <v>10.656250000000002</v>
      </c>
      <c r="F1162" s="13">
        <v>0</v>
      </c>
      <c r="G1162" s="14" t="s">
        <v>198</v>
      </c>
    </row>
    <row r="1163" spans="1:7" x14ac:dyDescent="0.25">
      <c r="A1163" s="34" t="str">
        <f>"PIEZA 3060 SERIE A Nº 12"</f>
        <v>PIEZA 3060 SERIE A Nº 12</v>
      </c>
      <c r="B1163" s="2">
        <v>21</v>
      </c>
      <c r="C1163" s="2">
        <v>8</v>
      </c>
      <c r="D1163" s="11" t="str">
        <f t="shared" si="28"/>
        <v>UN</v>
      </c>
      <c r="E1163" s="12">
        <v>17.050000000000004</v>
      </c>
      <c r="F1163" s="13">
        <v>0</v>
      </c>
      <c r="G1163" s="14" t="s">
        <v>198</v>
      </c>
    </row>
    <row r="1164" spans="1:7" x14ac:dyDescent="0.25">
      <c r="A1164" s="34" t="str">
        <f>"PIEZA 3060 SERIE A Nº 13"</f>
        <v>PIEZA 3060 SERIE A Nº 13</v>
      </c>
      <c r="B1164" s="2">
        <v>21</v>
      </c>
      <c r="C1164" s="2">
        <v>2</v>
      </c>
      <c r="D1164" s="11" t="str">
        <f t="shared" si="28"/>
        <v>UN</v>
      </c>
      <c r="E1164" s="12">
        <v>25.4375</v>
      </c>
      <c r="F1164" s="13">
        <v>0</v>
      </c>
      <c r="G1164" s="14" t="s">
        <v>198</v>
      </c>
    </row>
    <row r="1165" spans="1:7" x14ac:dyDescent="0.25">
      <c r="A1165" s="34" t="str">
        <f>"PIEZA 3060 SERIE A Nº 14"</f>
        <v>PIEZA 3060 SERIE A Nº 14</v>
      </c>
      <c r="B1165" s="2">
        <v>21</v>
      </c>
      <c r="C1165" s="2">
        <v>4</v>
      </c>
      <c r="D1165" s="11" t="str">
        <f t="shared" si="28"/>
        <v>UN</v>
      </c>
      <c r="E1165" s="12">
        <v>6.3250000000000002</v>
      </c>
      <c r="F1165" s="13">
        <v>0</v>
      </c>
      <c r="G1165" s="14" t="s">
        <v>198</v>
      </c>
    </row>
    <row r="1166" spans="1:7" x14ac:dyDescent="0.25">
      <c r="A1166" s="34" t="str">
        <f>"PIEZA 3060 SERIE A Nº 15"</f>
        <v>PIEZA 3060 SERIE A Nº 15</v>
      </c>
      <c r="B1166" s="2">
        <v>21</v>
      </c>
      <c r="C1166" s="2">
        <v>6</v>
      </c>
      <c r="D1166" s="11" t="str">
        <f t="shared" si="28"/>
        <v>UN</v>
      </c>
      <c r="E1166" s="12">
        <v>76.312500000000014</v>
      </c>
      <c r="F1166" s="13">
        <v>0</v>
      </c>
      <c r="G1166" s="14" t="s">
        <v>198</v>
      </c>
    </row>
    <row r="1167" spans="1:7" x14ac:dyDescent="0.25">
      <c r="A1167" s="34" t="str">
        <f>"PIEZA 3060 SERIE A Nº 18"</f>
        <v>PIEZA 3060 SERIE A Nº 18</v>
      </c>
      <c r="B1167" s="2">
        <v>21</v>
      </c>
      <c r="C1167" s="2">
        <v>2</v>
      </c>
      <c r="D1167" s="11" t="str">
        <f t="shared" si="28"/>
        <v>UN</v>
      </c>
      <c r="E1167" s="12">
        <v>115.91250000000001</v>
      </c>
      <c r="F1167" s="13">
        <v>0</v>
      </c>
      <c r="G1167" s="14" t="s">
        <v>198</v>
      </c>
    </row>
    <row r="1168" spans="1:7" x14ac:dyDescent="0.25">
      <c r="A1168" s="34" t="str">
        <f>"PIEZA 3060 SERIE A Nº 25"</f>
        <v>PIEZA 3060 SERIE A Nº 25</v>
      </c>
      <c r="B1168" s="2">
        <v>21</v>
      </c>
      <c r="C1168" s="2">
        <v>12</v>
      </c>
      <c r="D1168" s="11" t="str">
        <f t="shared" si="28"/>
        <v>UN</v>
      </c>
      <c r="E1168" s="12">
        <v>90.75</v>
      </c>
      <c r="F1168" s="13">
        <v>0</v>
      </c>
      <c r="G1168" s="14" t="s">
        <v>198</v>
      </c>
    </row>
    <row r="1169" spans="1:7" x14ac:dyDescent="0.25">
      <c r="A1169" s="34" t="str">
        <f>"PIEZA 3060 SERIE A Nº 29"</f>
        <v>PIEZA 3060 SERIE A Nº 29</v>
      </c>
      <c r="B1169" s="2">
        <v>21</v>
      </c>
      <c r="C1169" s="2">
        <v>4</v>
      </c>
      <c r="D1169" s="11" t="str">
        <f t="shared" si="28"/>
        <v>UN</v>
      </c>
      <c r="E1169" s="12">
        <v>9.35</v>
      </c>
      <c r="F1169" s="13">
        <v>0</v>
      </c>
      <c r="G1169" s="14" t="s">
        <v>198</v>
      </c>
    </row>
    <row r="1170" spans="1:7" x14ac:dyDescent="0.25">
      <c r="A1170" s="34" t="str">
        <f>"PIEZA 3060 SERIE A Nº 31"</f>
        <v>PIEZA 3060 SERIE A Nº 31</v>
      </c>
      <c r="B1170" s="2">
        <v>21</v>
      </c>
      <c r="C1170" s="2">
        <v>1</v>
      </c>
      <c r="D1170" s="11" t="str">
        <f t="shared" si="28"/>
        <v>UN</v>
      </c>
      <c r="E1170" s="12">
        <v>30.387500000000006</v>
      </c>
      <c r="F1170" s="13">
        <v>0</v>
      </c>
      <c r="G1170" s="14" t="s">
        <v>198</v>
      </c>
    </row>
    <row r="1171" spans="1:7" x14ac:dyDescent="0.25">
      <c r="A1171" s="34" t="str">
        <f>"PIEZA 3060 SERIE A Nº 33"</f>
        <v>PIEZA 3060 SERIE A Nº 33</v>
      </c>
      <c r="B1171" s="2">
        <v>21</v>
      </c>
      <c r="C1171" s="2">
        <v>1</v>
      </c>
      <c r="D1171" s="11" t="str">
        <f t="shared" si="28"/>
        <v>UN</v>
      </c>
      <c r="E1171" s="12">
        <v>40.493749999999999</v>
      </c>
      <c r="F1171" s="13">
        <v>0</v>
      </c>
      <c r="G1171" s="14" t="s">
        <v>198</v>
      </c>
    </row>
    <row r="1172" spans="1:7" x14ac:dyDescent="0.25">
      <c r="A1172" s="34" t="str">
        <f>"PIEZA 3060 SERIE A Nº 34"</f>
        <v>PIEZA 3060 SERIE A Nº 34</v>
      </c>
      <c r="B1172" s="2">
        <v>21</v>
      </c>
      <c r="C1172" s="2">
        <v>5</v>
      </c>
      <c r="D1172" s="11" t="str">
        <f t="shared" si="28"/>
        <v>UN</v>
      </c>
      <c r="E1172" s="12">
        <v>13.0625</v>
      </c>
      <c r="F1172" s="13">
        <v>0</v>
      </c>
      <c r="G1172" s="14" t="s">
        <v>198</v>
      </c>
    </row>
    <row r="1173" spans="1:7" x14ac:dyDescent="0.25">
      <c r="A1173" s="34" t="str">
        <f>"PIEZA 3060 SERIE A Nº 36"</f>
        <v>PIEZA 3060 SERIE A Nº 36</v>
      </c>
      <c r="B1173" s="2">
        <v>21</v>
      </c>
      <c r="C1173" s="2">
        <v>2</v>
      </c>
      <c r="D1173" s="11" t="str">
        <f t="shared" si="28"/>
        <v>UN</v>
      </c>
      <c r="E1173" s="12">
        <v>6.3250000000000002</v>
      </c>
      <c r="F1173" s="13">
        <v>0</v>
      </c>
      <c r="G1173" s="14" t="s">
        <v>198</v>
      </c>
    </row>
    <row r="1174" spans="1:7" x14ac:dyDescent="0.25">
      <c r="A1174" s="34" t="str">
        <f>"PIEZA 3060 SERIE A Nº 37"</f>
        <v>PIEZA 3060 SERIE A Nº 37</v>
      </c>
      <c r="B1174" s="2">
        <v>21</v>
      </c>
      <c r="C1174" s="2">
        <v>8</v>
      </c>
      <c r="D1174" s="11" t="str">
        <f t="shared" si="28"/>
        <v>UN</v>
      </c>
      <c r="E1174" s="12">
        <v>4.4000000000000012</v>
      </c>
      <c r="F1174" s="13">
        <v>0</v>
      </c>
      <c r="G1174" s="14" t="s">
        <v>198</v>
      </c>
    </row>
    <row r="1175" spans="1:7" x14ac:dyDescent="0.25">
      <c r="A1175" s="34" t="str">
        <f>"PIEZA 3060 SERIE A Nº 38"</f>
        <v>PIEZA 3060 SERIE A Nº 38</v>
      </c>
      <c r="B1175" s="2">
        <v>21</v>
      </c>
      <c r="C1175" s="2">
        <v>14</v>
      </c>
      <c r="D1175" s="11" t="str">
        <f t="shared" si="28"/>
        <v>UN</v>
      </c>
      <c r="E1175" s="12">
        <v>566.91250000000014</v>
      </c>
      <c r="F1175" s="13">
        <v>0</v>
      </c>
      <c r="G1175" s="14" t="s">
        <v>198</v>
      </c>
    </row>
    <row r="1176" spans="1:7" x14ac:dyDescent="0.25">
      <c r="A1176" s="34" t="str">
        <f>"PIEZA 3060 SERIE A Nº 41"</f>
        <v>PIEZA 3060 SERIE A Nº 41</v>
      </c>
      <c r="B1176" s="2">
        <v>21</v>
      </c>
      <c r="C1176" s="2">
        <v>9</v>
      </c>
      <c r="D1176" s="11" t="str">
        <f t="shared" si="28"/>
        <v>UN</v>
      </c>
      <c r="E1176" s="12">
        <v>4.95</v>
      </c>
      <c r="F1176" s="13">
        <v>0</v>
      </c>
      <c r="G1176" s="14" t="s">
        <v>198</v>
      </c>
    </row>
    <row r="1177" spans="1:7" x14ac:dyDescent="0.25">
      <c r="A1177" s="34" t="str">
        <f>"PIEZA 3060 SERIE A Nº 42"</f>
        <v>PIEZA 3060 SERIE A Nº 42</v>
      </c>
      <c r="B1177" s="2">
        <v>21</v>
      </c>
      <c r="C1177" s="2">
        <v>15</v>
      </c>
      <c r="D1177" s="11" t="str">
        <f t="shared" si="28"/>
        <v>UN</v>
      </c>
      <c r="E1177" s="12">
        <v>53.625000000000007</v>
      </c>
      <c r="F1177" s="13">
        <v>0</v>
      </c>
      <c r="G1177" s="14" t="s">
        <v>198</v>
      </c>
    </row>
    <row r="1178" spans="1:7" x14ac:dyDescent="0.25">
      <c r="A1178" s="34" t="str">
        <f>"PIEZA 3060 SERIE A Nº 43"</f>
        <v>PIEZA 3060 SERIE A Nº 43</v>
      </c>
      <c r="B1178" s="2">
        <v>21</v>
      </c>
      <c r="C1178" s="2">
        <v>3</v>
      </c>
      <c r="D1178" s="11" t="str">
        <f t="shared" si="28"/>
        <v>UN</v>
      </c>
      <c r="E1178" s="12">
        <v>53.212500000000006</v>
      </c>
      <c r="F1178" s="13">
        <v>0</v>
      </c>
      <c r="G1178" s="14" t="s">
        <v>198</v>
      </c>
    </row>
    <row r="1179" spans="1:7" x14ac:dyDescent="0.25">
      <c r="A1179" s="34" t="str">
        <f>"PIEZA 3060 SERIE A Nº 44"</f>
        <v>PIEZA 3060 SERIE A Nº 44</v>
      </c>
      <c r="B1179" s="2">
        <v>21</v>
      </c>
      <c r="C1179" s="2">
        <v>4</v>
      </c>
      <c r="D1179" s="11" t="str">
        <f t="shared" si="28"/>
        <v>UN</v>
      </c>
      <c r="E1179" s="12">
        <v>6.6000000000000005</v>
      </c>
      <c r="F1179" s="13">
        <v>0</v>
      </c>
      <c r="G1179" s="14" t="s">
        <v>198</v>
      </c>
    </row>
    <row r="1180" spans="1:7" x14ac:dyDescent="0.25">
      <c r="A1180" s="34" t="str">
        <f>"PIEZA 3060 SERIE A Nº 45"</f>
        <v>PIEZA 3060 SERIE A Nº 45</v>
      </c>
      <c r="B1180" s="2">
        <v>21</v>
      </c>
      <c r="C1180" s="2">
        <v>3</v>
      </c>
      <c r="D1180" s="11" t="str">
        <f t="shared" si="28"/>
        <v>UN</v>
      </c>
      <c r="E1180" s="12">
        <v>12.787500000000003</v>
      </c>
      <c r="F1180" s="13">
        <v>0</v>
      </c>
      <c r="G1180" s="14" t="s">
        <v>198</v>
      </c>
    </row>
    <row r="1181" spans="1:7" x14ac:dyDescent="0.25">
      <c r="A1181" s="34" t="str">
        <f>"PIEZA 3060 SERIE A Nº 46"</f>
        <v>PIEZA 3060 SERIE A Nº 46</v>
      </c>
      <c r="B1181" s="2">
        <v>21</v>
      </c>
      <c r="C1181" s="2">
        <v>5</v>
      </c>
      <c r="D1181" s="11" t="str">
        <f t="shared" si="28"/>
        <v>UN</v>
      </c>
      <c r="E1181" s="12">
        <v>13.0625</v>
      </c>
      <c r="F1181" s="13">
        <v>0</v>
      </c>
      <c r="G1181" s="14" t="s">
        <v>198</v>
      </c>
    </row>
    <row r="1182" spans="1:7" x14ac:dyDescent="0.25">
      <c r="A1182" s="34" t="str">
        <f>"PIEZA 3062 SERIE A Nº 40"</f>
        <v>PIEZA 3062 SERIE A Nº 40</v>
      </c>
      <c r="B1182" s="2">
        <v>21</v>
      </c>
      <c r="C1182" s="2">
        <v>5</v>
      </c>
      <c r="D1182" s="11" t="str">
        <f t="shared" si="28"/>
        <v>UN</v>
      </c>
      <c r="E1182" s="12">
        <v>281.87500000000006</v>
      </c>
      <c r="F1182" s="13">
        <v>0</v>
      </c>
      <c r="G1182" s="14" t="s">
        <v>198</v>
      </c>
    </row>
    <row r="1183" spans="1:7" x14ac:dyDescent="0.25">
      <c r="A1183" s="34" t="str">
        <f>"PIEZA 3100 SERIE A Nº 35"</f>
        <v>PIEZA 3100 SERIE A Nº 35</v>
      </c>
      <c r="B1183" s="2">
        <v>21</v>
      </c>
      <c r="C1183" s="2">
        <v>6</v>
      </c>
      <c r="D1183" s="11" t="str">
        <f t="shared" si="28"/>
        <v>UN</v>
      </c>
      <c r="E1183" s="12">
        <v>8.745000000000001</v>
      </c>
      <c r="F1183" s="13">
        <v>0</v>
      </c>
      <c r="G1183" s="14" t="s">
        <v>198</v>
      </c>
    </row>
    <row r="1184" spans="1:7" x14ac:dyDescent="0.25">
      <c r="A1184" s="34" t="str">
        <f>"PIEZA 3100 SERIE A Nº 38"</f>
        <v>PIEZA 3100 SERIE A Nº 38</v>
      </c>
      <c r="B1184" s="2">
        <v>21</v>
      </c>
      <c r="C1184" s="2">
        <v>7</v>
      </c>
      <c r="D1184" s="11" t="str">
        <f t="shared" si="28"/>
        <v>UN</v>
      </c>
      <c r="E1184" s="12">
        <v>13.763750000000002</v>
      </c>
      <c r="F1184" s="13">
        <v>0</v>
      </c>
      <c r="G1184" s="14" t="s">
        <v>198</v>
      </c>
    </row>
    <row r="1185" spans="1:7" x14ac:dyDescent="0.25">
      <c r="A1185" s="34" t="str">
        <f>"PIEZA 3100 SERIE A Nº 39"</f>
        <v>PIEZA 3100 SERIE A Nº 39</v>
      </c>
      <c r="B1185" s="2">
        <v>21</v>
      </c>
      <c r="C1185" s="2">
        <v>4</v>
      </c>
      <c r="D1185" s="11" t="str">
        <f t="shared" si="28"/>
        <v>UN</v>
      </c>
      <c r="E1185" s="12">
        <v>10.230000000000002</v>
      </c>
      <c r="F1185" s="13">
        <v>0</v>
      </c>
      <c r="G1185" s="14" t="s">
        <v>198</v>
      </c>
    </row>
    <row r="1186" spans="1:7" x14ac:dyDescent="0.25">
      <c r="A1186" s="34" t="str">
        <f>"PIEZA 3100 SERIE A Nº 42"</f>
        <v>PIEZA 3100 SERIE A Nº 42</v>
      </c>
      <c r="B1186" s="2">
        <v>21</v>
      </c>
      <c r="C1186" s="2">
        <v>4</v>
      </c>
      <c r="D1186" s="11" t="str">
        <f t="shared" si="28"/>
        <v>UN</v>
      </c>
      <c r="E1186" s="12">
        <v>28.93</v>
      </c>
      <c r="F1186" s="13">
        <v>0</v>
      </c>
      <c r="G1186" s="14" t="s">
        <v>198</v>
      </c>
    </row>
    <row r="1187" spans="1:7" x14ac:dyDescent="0.25">
      <c r="A1187" s="34" t="str">
        <f>"PIEZA 3100 SERIE A Nº 45"</f>
        <v>PIEZA 3100 SERIE A Nº 45</v>
      </c>
      <c r="B1187" s="2">
        <v>21</v>
      </c>
      <c r="C1187" s="2">
        <v>2</v>
      </c>
      <c r="D1187" s="11" t="str">
        <f t="shared" si="28"/>
        <v>UN</v>
      </c>
      <c r="E1187" s="12">
        <v>1.9524999999999999</v>
      </c>
      <c r="F1187" s="13">
        <v>0</v>
      </c>
      <c r="G1187" s="14" t="s">
        <v>198</v>
      </c>
    </row>
    <row r="1188" spans="1:7" x14ac:dyDescent="0.25">
      <c r="A1188" s="34" t="str">
        <f>"PIEZA 3100 SERIE A Nº 46"</f>
        <v>PIEZA 3100 SERIE A Nº 46</v>
      </c>
      <c r="B1188" s="2">
        <v>21</v>
      </c>
      <c r="C1188" s="2">
        <v>7</v>
      </c>
      <c r="D1188" s="11" t="str">
        <f t="shared" si="28"/>
        <v>UN</v>
      </c>
      <c r="E1188" s="12">
        <v>4.1387500000000008</v>
      </c>
      <c r="F1188" s="13">
        <v>0</v>
      </c>
      <c r="G1188" s="14" t="s">
        <v>198</v>
      </c>
    </row>
    <row r="1189" spans="1:7" x14ac:dyDescent="0.25">
      <c r="A1189" s="34" t="str">
        <f>"PIEZA 3100 SERIE A Nº 47"</f>
        <v>PIEZA 3100 SERIE A Nº 47</v>
      </c>
      <c r="B1189" s="2">
        <v>21</v>
      </c>
      <c r="C1189" s="2">
        <v>3</v>
      </c>
      <c r="D1189" s="11" t="str">
        <f t="shared" si="28"/>
        <v>UN</v>
      </c>
      <c r="E1189" s="12">
        <v>1.7737500000000004</v>
      </c>
      <c r="F1189" s="13">
        <v>0</v>
      </c>
      <c r="G1189" s="14" t="s">
        <v>198</v>
      </c>
    </row>
    <row r="1190" spans="1:7" x14ac:dyDescent="0.25">
      <c r="A1190" s="34" t="str">
        <f>"PIEZA 3100 SERIE B Nº 08"</f>
        <v>PIEZA 3100 SERIE B Nº 08</v>
      </c>
      <c r="B1190" s="2">
        <v>21</v>
      </c>
      <c r="C1190" s="2">
        <v>2</v>
      </c>
      <c r="D1190" s="11" t="str">
        <f t="shared" si="28"/>
        <v>UN</v>
      </c>
      <c r="E1190" s="12">
        <v>1.1825000000000001</v>
      </c>
      <c r="F1190" s="13">
        <v>0</v>
      </c>
      <c r="G1190" s="14" t="s">
        <v>198</v>
      </c>
    </row>
    <row r="1191" spans="1:7" x14ac:dyDescent="0.25">
      <c r="A1191" s="34" t="str">
        <f>"PIEZA 3100 SERIE B Nº 09"</f>
        <v>PIEZA 3100 SERIE B Nº 09</v>
      </c>
      <c r="B1191" s="2">
        <v>21</v>
      </c>
      <c r="C1191" s="2">
        <v>5</v>
      </c>
      <c r="D1191" s="11" t="str">
        <f t="shared" si="28"/>
        <v>UN</v>
      </c>
      <c r="E1191" s="12">
        <v>5.9125000000000005</v>
      </c>
      <c r="F1191" s="13">
        <v>0</v>
      </c>
      <c r="G1191" s="14" t="s">
        <v>198</v>
      </c>
    </row>
    <row r="1192" spans="1:7" x14ac:dyDescent="0.25">
      <c r="A1192" s="34" t="str">
        <f>"PIEZA 3100 SERIE B Nº 13"</f>
        <v>PIEZA 3100 SERIE B Nº 13</v>
      </c>
      <c r="B1192" s="2">
        <v>21</v>
      </c>
      <c r="C1192" s="2">
        <v>5</v>
      </c>
      <c r="D1192" s="11" t="str">
        <f t="shared" si="28"/>
        <v>UN</v>
      </c>
      <c r="E1192" s="12">
        <v>22.618750000000002</v>
      </c>
      <c r="F1192" s="13">
        <v>0</v>
      </c>
      <c r="G1192" s="14" t="s">
        <v>198</v>
      </c>
    </row>
    <row r="1193" spans="1:7" x14ac:dyDescent="0.25">
      <c r="A1193" s="34" t="str">
        <f>"PIEZA 3100 SERIE B Nº 19"</f>
        <v>PIEZA 3100 SERIE B Nº 19</v>
      </c>
      <c r="B1193" s="2">
        <v>21</v>
      </c>
      <c r="C1193" s="2">
        <v>1</v>
      </c>
      <c r="D1193" s="11" t="str">
        <f t="shared" si="28"/>
        <v>UN</v>
      </c>
      <c r="E1193" s="12">
        <v>11.192500000000004</v>
      </c>
      <c r="F1193" s="13">
        <v>0</v>
      </c>
      <c r="G1193" s="14" t="s">
        <v>198</v>
      </c>
    </row>
    <row r="1194" spans="1:7" x14ac:dyDescent="0.25">
      <c r="A1194" s="34" t="str">
        <f>"PIEZA 3100 SERIE B Nº 21"</f>
        <v>PIEZA 3100 SERIE B Nº 21</v>
      </c>
      <c r="B1194" s="2">
        <v>21</v>
      </c>
      <c r="C1194" s="2">
        <v>7</v>
      </c>
      <c r="D1194" s="11" t="str">
        <f t="shared" si="28"/>
        <v>UN</v>
      </c>
      <c r="E1194" s="12">
        <v>68.722499999999997</v>
      </c>
      <c r="F1194" s="13">
        <v>0</v>
      </c>
      <c r="G1194" s="14" t="s">
        <v>198</v>
      </c>
    </row>
    <row r="1195" spans="1:7" x14ac:dyDescent="0.25">
      <c r="A1195" s="34" t="str">
        <f>"PIEZA 3100 SERIE B Nº 22"</f>
        <v>PIEZA 3100 SERIE B Nº 22</v>
      </c>
      <c r="B1195" s="2">
        <v>21</v>
      </c>
      <c r="C1195" s="2">
        <v>8</v>
      </c>
      <c r="D1195" s="11" t="str">
        <f t="shared" si="28"/>
        <v>UN</v>
      </c>
      <c r="E1195" s="12">
        <v>39.160000000000004</v>
      </c>
      <c r="F1195" s="13">
        <v>0</v>
      </c>
      <c r="G1195" s="14" t="s">
        <v>198</v>
      </c>
    </row>
    <row r="1196" spans="1:7" x14ac:dyDescent="0.25">
      <c r="A1196" s="34" t="str">
        <f>"PIEZA 3100 SERIE B Nº 25"</f>
        <v>PIEZA 3100 SERIE B Nº 25</v>
      </c>
      <c r="B1196" s="2">
        <v>21</v>
      </c>
      <c r="C1196" s="2">
        <v>2</v>
      </c>
      <c r="D1196" s="11" t="str">
        <f t="shared" si="28"/>
        <v>UN</v>
      </c>
      <c r="E1196" s="12">
        <v>4.7025000000000006</v>
      </c>
      <c r="F1196" s="13">
        <v>0</v>
      </c>
      <c r="G1196" s="14" t="s">
        <v>198</v>
      </c>
    </row>
    <row r="1197" spans="1:7" x14ac:dyDescent="0.25">
      <c r="A1197" s="34" t="str">
        <f>"PIEZA 3100 SERIE B Nº 26"</f>
        <v>PIEZA 3100 SERIE B Nº 26</v>
      </c>
      <c r="B1197" s="2">
        <v>21</v>
      </c>
      <c r="C1197" s="2">
        <v>1</v>
      </c>
      <c r="D1197" s="11" t="str">
        <f t="shared" si="28"/>
        <v>UN</v>
      </c>
      <c r="E1197" s="12">
        <v>42.432499999999997</v>
      </c>
      <c r="F1197" s="13">
        <v>0</v>
      </c>
      <c r="G1197" s="14" t="s">
        <v>198</v>
      </c>
    </row>
    <row r="1198" spans="1:7" x14ac:dyDescent="0.25">
      <c r="A1198" s="34" t="str">
        <f>"PIEZA 3100 SERIE B Nº 27"</f>
        <v>PIEZA 3100 SERIE B Nº 27</v>
      </c>
      <c r="B1198" s="2">
        <v>21</v>
      </c>
      <c r="C1198" s="2">
        <v>19</v>
      </c>
      <c r="D1198" s="11" t="str">
        <f t="shared" si="28"/>
        <v>UN</v>
      </c>
      <c r="E1198" s="12">
        <v>27.692500000000003</v>
      </c>
      <c r="F1198" s="13">
        <v>0</v>
      </c>
      <c r="G1198" s="14" t="s">
        <v>198</v>
      </c>
    </row>
    <row r="1199" spans="1:7" x14ac:dyDescent="0.25">
      <c r="A1199" s="34" t="str">
        <f>"PIEZA 3100 SERIE B Nº 28"</f>
        <v>PIEZA 3100 SERIE B Nº 28</v>
      </c>
      <c r="B1199" s="2">
        <v>21</v>
      </c>
      <c r="C1199" s="2">
        <v>18</v>
      </c>
      <c r="D1199" s="11" t="str">
        <f t="shared" si="28"/>
        <v>UN</v>
      </c>
      <c r="E1199" s="12">
        <v>10.642500000000002</v>
      </c>
      <c r="F1199" s="13">
        <v>0</v>
      </c>
      <c r="G1199" s="14" t="s">
        <v>198</v>
      </c>
    </row>
    <row r="1200" spans="1:7" x14ac:dyDescent="0.25">
      <c r="A1200" s="34" t="str">
        <f>"PIEZA 3100 SERIE B Nº 29"</f>
        <v>PIEZA 3100 SERIE B Nº 29</v>
      </c>
      <c r="B1200" s="2">
        <v>21</v>
      </c>
      <c r="C1200" s="2">
        <v>4</v>
      </c>
      <c r="D1200" s="11" t="str">
        <f t="shared" si="28"/>
        <v>UN</v>
      </c>
      <c r="E1200" s="12">
        <v>18.095000000000002</v>
      </c>
      <c r="F1200" s="13">
        <v>0</v>
      </c>
      <c r="G1200" s="14" t="s">
        <v>198</v>
      </c>
    </row>
    <row r="1201" spans="1:7" x14ac:dyDescent="0.25">
      <c r="A1201" s="34" t="str">
        <f>"PIEZA 3100 SERIE B Nº 32"</f>
        <v>PIEZA 3100 SERIE B Nº 32</v>
      </c>
      <c r="B1201" s="2">
        <v>21</v>
      </c>
      <c r="C1201" s="2">
        <v>5</v>
      </c>
      <c r="D1201" s="11" t="str">
        <f t="shared" si="28"/>
        <v>UN</v>
      </c>
      <c r="E1201" s="12">
        <v>36.162499999999994</v>
      </c>
      <c r="F1201" s="13">
        <v>0</v>
      </c>
      <c r="G1201" s="14" t="s">
        <v>198</v>
      </c>
    </row>
    <row r="1202" spans="1:7" x14ac:dyDescent="0.25">
      <c r="A1202" s="34" t="str">
        <f>"PIEZA 3100 SERIE C Nº 01"</f>
        <v>PIEZA 3100 SERIE C Nº 01</v>
      </c>
      <c r="B1202" s="2">
        <v>21</v>
      </c>
      <c r="C1202" s="2">
        <v>3</v>
      </c>
      <c r="D1202" s="11" t="str">
        <f t="shared" si="28"/>
        <v>UN</v>
      </c>
      <c r="E1202" s="12">
        <v>11.178749999999997</v>
      </c>
      <c r="F1202" s="13">
        <v>0</v>
      </c>
      <c r="G1202" s="14" t="s">
        <v>198</v>
      </c>
    </row>
    <row r="1203" spans="1:7" x14ac:dyDescent="0.25">
      <c r="A1203" s="34" t="str">
        <f>"PIEZA 3100 SERIE E Nº 01"</f>
        <v>PIEZA 3100 SERIE E Nº 01</v>
      </c>
      <c r="B1203" s="2">
        <v>21</v>
      </c>
      <c r="C1203" s="2">
        <v>2</v>
      </c>
      <c r="D1203" s="11" t="str">
        <f t="shared" si="28"/>
        <v>UN</v>
      </c>
      <c r="E1203" s="12">
        <v>51.974999999999994</v>
      </c>
      <c r="F1203" s="13">
        <v>0</v>
      </c>
      <c r="G1203" s="14" t="s">
        <v>198</v>
      </c>
    </row>
    <row r="1204" spans="1:7" x14ac:dyDescent="0.25">
      <c r="A1204" s="34" t="str">
        <f>"PIEZA 3100 SERIE E Nº 03"</f>
        <v>PIEZA 3100 SERIE E Nº 03</v>
      </c>
      <c r="B1204" s="2">
        <v>21</v>
      </c>
      <c r="C1204" s="2">
        <v>1</v>
      </c>
      <c r="D1204" s="11" t="str">
        <f t="shared" si="28"/>
        <v>UN</v>
      </c>
      <c r="E1204" s="12">
        <v>5.7750000000000004</v>
      </c>
      <c r="F1204" s="13">
        <v>0</v>
      </c>
      <c r="G1204" s="14" t="s">
        <v>198</v>
      </c>
    </row>
    <row r="1205" spans="1:7" x14ac:dyDescent="0.25">
      <c r="A1205" s="34" t="str">
        <f>"PIEZA 3100 SERIE E Nº 05"</f>
        <v>PIEZA 3100 SERIE E Nº 05</v>
      </c>
      <c r="B1205" s="2">
        <v>21</v>
      </c>
      <c r="C1205" s="2">
        <v>4</v>
      </c>
      <c r="D1205" s="11" t="str">
        <f t="shared" si="28"/>
        <v>UN</v>
      </c>
      <c r="E1205" s="12">
        <v>3.85</v>
      </c>
      <c r="F1205" s="13">
        <v>0</v>
      </c>
      <c r="G1205" s="14" t="s">
        <v>198</v>
      </c>
    </row>
    <row r="1206" spans="1:7" x14ac:dyDescent="0.25">
      <c r="A1206" s="34" t="str">
        <f>"PIEZA 3100 SERIE E Nº 07"</f>
        <v>PIEZA 3100 SERIE E Nº 07</v>
      </c>
      <c r="B1206" s="2">
        <v>21</v>
      </c>
      <c r="C1206" s="2">
        <v>4</v>
      </c>
      <c r="D1206" s="11" t="str">
        <f t="shared" si="28"/>
        <v>UN</v>
      </c>
      <c r="E1206" s="12">
        <v>8.25</v>
      </c>
      <c r="F1206" s="13">
        <v>0</v>
      </c>
      <c r="G1206" s="14" t="s">
        <v>198</v>
      </c>
    </row>
    <row r="1207" spans="1:7" x14ac:dyDescent="0.25">
      <c r="A1207" s="34" t="str">
        <f>"PIEZA 3100 SERIE E Nº 11"</f>
        <v>PIEZA 3100 SERIE E Nº 11</v>
      </c>
      <c r="B1207" s="2">
        <v>21</v>
      </c>
      <c r="C1207" s="2">
        <v>5</v>
      </c>
      <c r="D1207" s="11" t="str">
        <f t="shared" si="28"/>
        <v>UN</v>
      </c>
      <c r="E1207" s="12">
        <v>111.99374999999999</v>
      </c>
      <c r="F1207" s="13">
        <v>0</v>
      </c>
      <c r="G1207" s="14" t="s">
        <v>198</v>
      </c>
    </row>
    <row r="1208" spans="1:7" x14ac:dyDescent="0.25">
      <c r="A1208" s="34" t="str">
        <f>"PIEZA 3100 SERIE E Nº 12 PALETA"</f>
        <v>PIEZA 3100 SERIE E Nº 12 PALETA</v>
      </c>
      <c r="B1208" s="2">
        <v>21</v>
      </c>
      <c r="C1208" s="2">
        <v>4</v>
      </c>
      <c r="D1208" s="11" t="str">
        <f t="shared" si="28"/>
        <v>UN</v>
      </c>
      <c r="E1208" s="12">
        <v>8.6349999999999998</v>
      </c>
      <c r="F1208" s="13">
        <v>0</v>
      </c>
      <c r="G1208" s="14" t="s">
        <v>198</v>
      </c>
    </row>
    <row r="1209" spans="1:7" x14ac:dyDescent="0.25">
      <c r="A1209" s="34" t="str">
        <f>"PIEZA 3100 SERIE E Nº 14"</f>
        <v>PIEZA 3100 SERIE E Nº 14</v>
      </c>
      <c r="B1209" s="2">
        <v>21</v>
      </c>
      <c r="C1209" s="2">
        <v>1</v>
      </c>
      <c r="D1209" s="11" t="str">
        <f t="shared" si="28"/>
        <v>UN</v>
      </c>
      <c r="E1209" s="12">
        <v>9.8175000000000008</v>
      </c>
      <c r="F1209" s="13">
        <v>0</v>
      </c>
      <c r="G1209" s="14" t="s">
        <v>198</v>
      </c>
    </row>
    <row r="1210" spans="1:7" x14ac:dyDescent="0.25">
      <c r="A1210" s="34" t="str">
        <f>"PIEZA 3100 SERIE E Nº 16"</f>
        <v>PIEZA 3100 SERIE E Nº 16</v>
      </c>
      <c r="B1210" s="2">
        <v>21</v>
      </c>
      <c r="C1210" s="2">
        <v>3</v>
      </c>
      <c r="D1210" s="11" t="str">
        <f t="shared" si="28"/>
        <v>UN</v>
      </c>
      <c r="E1210" s="12">
        <v>40.672499999999999</v>
      </c>
      <c r="F1210" s="13">
        <v>0</v>
      </c>
      <c r="G1210" s="14" t="s">
        <v>198</v>
      </c>
    </row>
    <row r="1211" spans="1:7" x14ac:dyDescent="0.25">
      <c r="A1211" s="34" t="str">
        <f>"PIEZA 3100 SERIE E Nº 22"</f>
        <v>PIEZA 3100 SERIE E Nº 22</v>
      </c>
      <c r="B1211" s="2">
        <v>21</v>
      </c>
      <c r="C1211" s="2">
        <v>3</v>
      </c>
      <c r="D1211" s="11" t="str">
        <f t="shared" si="28"/>
        <v>UN</v>
      </c>
      <c r="E1211" s="12">
        <v>2.9287499999999995</v>
      </c>
      <c r="F1211" s="13">
        <v>0</v>
      </c>
      <c r="G1211" s="14" t="s">
        <v>198</v>
      </c>
    </row>
    <row r="1212" spans="1:7" x14ac:dyDescent="0.25">
      <c r="A1212" s="34" t="str">
        <f>"PIEZA 3100 SERIE E Nº 30"</f>
        <v>PIEZA 3100 SERIE E Nº 30</v>
      </c>
      <c r="B1212" s="2">
        <v>21</v>
      </c>
      <c r="C1212" s="2">
        <v>3</v>
      </c>
      <c r="D1212" s="11" t="str">
        <f t="shared" si="28"/>
        <v>UN</v>
      </c>
      <c r="E1212" s="12">
        <v>2.92875</v>
      </c>
      <c r="F1212" s="13">
        <v>0</v>
      </c>
      <c r="G1212" s="14" t="s">
        <v>198</v>
      </c>
    </row>
    <row r="1213" spans="1:7" x14ac:dyDescent="0.25">
      <c r="A1213" s="34" t="str">
        <f>"PIEZA 3100 SERIE E Nº 31"</f>
        <v>PIEZA 3100 SERIE E Nº 31</v>
      </c>
      <c r="B1213" s="2">
        <v>21</v>
      </c>
      <c r="C1213" s="2">
        <v>9</v>
      </c>
      <c r="D1213" s="11" t="str">
        <f t="shared" si="28"/>
        <v>UN</v>
      </c>
      <c r="E1213" s="12">
        <v>8.786249999999999</v>
      </c>
      <c r="F1213" s="13">
        <v>0</v>
      </c>
      <c r="G1213" s="14" t="s">
        <v>198</v>
      </c>
    </row>
    <row r="1214" spans="1:7" x14ac:dyDescent="0.25">
      <c r="A1214" s="34" t="str">
        <f>"PIEZA 3100 SERIE E Nº 32"</f>
        <v>PIEZA 3100 SERIE E Nº 32</v>
      </c>
      <c r="B1214" s="2">
        <v>21</v>
      </c>
      <c r="C1214" s="2">
        <v>31</v>
      </c>
      <c r="D1214" s="11" t="str">
        <f t="shared" si="28"/>
        <v>UN</v>
      </c>
      <c r="E1214" s="12">
        <v>72.888750000000016</v>
      </c>
      <c r="F1214" s="13">
        <v>0</v>
      </c>
      <c r="G1214" s="14" t="s">
        <v>198</v>
      </c>
    </row>
    <row r="1215" spans="1:7" x14ac:dyDescent="0.25">
      <c r="A1215" s="34" t="str">
        <f>"PIEZA 3100 SERIE E Nº 33"</f>
        <v>PIEZA 3100 SERIE E Nº 33</v>
      </c>
      <c r="B1215" s="2">
        <v>21</v>
      </c>
      <c r="C1215" s="2">
        <v>3</v>
      </c>
      <c r="D1215" s="11" t="str">
        <f t="shared" si="28"/>
        <v>UN</v>
      </c>
      <c r="E1215" s="12">
        <v>0</v>
      </c>
      <c r="F1215" s="13">
        <v>0</v>
      </c>
      <c r="G1215" s="14" t="s">
        <v>198</v>
      </c>
    </row>
    <row r="1216" spans="1:7" x14ac:dyDescent="0.25">
      <c r="A1216" s="34" t="str">
        <f>"PIEZA 3100 SERIE E Nº 37"</f>
        <v>PIEZA 3100 SERIE E Nº 37</v>
      </c>
      <c r="B1216" s="2">
        <v>21</v>
      </c>
      <c r="C1216" s="2">
        <v>2</v>
      </c>
      <c r="D1216" s="11" t="str">
        <f t="shared" si="28"/>
        <v>UN</v>
      </c>
      <c r="E1216" s="12">
        <v>8.1400000000000023</v>
      </c>
      <c r="F1216" s="13">
        <v>0</v>
      </c>
      <c r="G1216" s="14" t="s">
        <v>198</v>
      </c>
    </row>
    <row r="1217" spans="1:7" x14ac:dyDescent="0.25">
      <c r="A1217" s="34" t="str">
        <f>"PIEZA 3100 SERIE E Nº 38"</f>
        <v>PIEZA 3100 SERIE E Nº 38</v>
      </c>
      <c r="B1217" s="2">
        <v>21</v>
      </c>
      <c r="C1217" s="2">
        <v>3</v>
      </c>
      <c r="D1217" s="11" t="str">
        <f t="shared" si="28"/>
        <v>UN</v>
      </c>
      <c r="E1217" s="12">
        <v>3.9600000000000004</v>
      </c>
      <c r="F1217" s="13">
        <v>0</v>
      </c>
      <c r="G1217" s="14" t="s">
        <v>198</v>
      </c>
    </row>
    <row r="1218" spans="1:7" x14ac:dyDescent="0.25">
      <c r="A1218" s="34" t="str">
        <f>"PIEZA 3100 SERIE E Nº 41"</f>
        <v>PIEZA 3100 SERIE E Nº 41</v>
      </c>
      <c r="B1218" s="2">
        <v>21</v>
      </c>
      <c r="C1218" s="2">
        <v>5</v>
      </c>
      <c r="D1218" s="11" t="str">
        <f t="shared" si="28"/>
        <v>UN</v>
      </c>
      <c r="E1218" s="12">
        <v>9.8312499999999989</v>
      </c>
      <c r="F1218" s="13">
        <v>0</v>
      </c>
      <c r="G1218" s="14" t="s">
        <v>198</v>
      </c>
    </row>
    <row r="1219" spans="1:7" x14ac:dyDescent="0.25">
      <c r="A1219" s="34" t="str">
        <f>"PIEZA 3300 SERIE A Nº 23"</f>
        <v>PIEZA 3300 SERIE A Nº 23</v>
      </c>
      <c r="B1219" s="2">
        <v>21</v>
      </c>
      <c r="C1219" s="2">
        <v>4</v>
      </c>
      <c r="D1219" s="11" t="str">
        <f t="shared" si="28"/>
        <v>UN</v>
      </c>
      <c r="E1219" s="12">
        <v>78.100000000000009</v>
      </c>
      <c r="F1219" s="13">
        <v>0</v>
      </c>
      <c r="G1219" s="14" t="s">
        <v>198</v>
      </c>
    </row>
    <row r="1220" spans="1:7" x14ac:dyDescent="0.25">
      <c r="A1220" s="34" t="str">
        <f>"PIEZA 3300 SERIE A Nº 24"</f>
        <v>PIEZA 3300 SERIE A Nº 24</v>
      </c>
      <c r="B1220" s="2">
        <v>21</v>
      </c>
      <c r="C1220" s="2">
        <v>3</v>
      </c>
      <c r="D1220" s="11" t="str">
        <f t="shared" si="28"/>
        <v>UN</v>
      </c>
      <c r="E1220" s="12">
        <v>9.6937500000000014</v>
      </c>
      <c r="F1220" s="13">
        <v>0</v>
      </c>
      <c r="G1220" s="14" t="s">
        <v>198</v>
      </c>
    </row>
    <row r="1221" spans="1:7" x14ac:dyDescent="0.25">
      <c r="A1221" s="34" t="str">
        <f>"PIEZA 3300 SERIE A Nº 26"</f>
        <v>PIEZA 3300 SERIE A Nº 26</v>
      </c>
      <c r="B1221" s="2">
        <v>21</v>
      </c>
      <c r="C1221" s="2">
        <v>2</v>
      </c>
      <c r="D1221" s="11" t="str">
        <f t="shared" si="28"/>
        <v>UN</v>
      </c>
      <c r="E1221" s="12">
        <v>9.9000000000000021</v>
      </c>
      <c r="F1221" s="13">
        <v>0</v>
      </c>
      <c r="G1221" s="14" t="s">
        <v>198</v>
      </c>
    </row>
    <row r="1222" spans="1:7" x14ac:dyDescent="0.25">
      <c r="A1222" s="34" t="str">
        <f>"PIEZA 3300 SERIE A Nº 27"</f>
        <v>PIEZA 3300 SERIE A Nº 27</v>
      </c>
      <c r="B1222" s="2">
        <v>21</v>
      </c>
      <c r="C1222" s="2">
        <v>3</v>
      </c>
      <c r="D1222" s="11" t="str">
        <f t="shared" si="28"/>
        <v>UN</v>
      </c>
      <c r="E1222" s="12">
        <v>41.250000000000007</v>
      </c>
      <c r="F1222" s="13">
        <v>0</v>
      </c>
      <c r="G1222" s="14" t="s">
        <v>198</v>
      </c>
    </row>
    <row r="1223" spans="1:7" x14ac:dyDescent="0.25">
      <c r="A1223" s="34" t="str">
        <f>"PIEZA 3300 SERIE A Nº 31"</f>
        <v>PIEZA 3300 SERIE A Nº 31</v>
      </c>
      <c r="B1223" s="2">
        <v>21</v>
      </c>
      <c r="C1223" s="2">
        <v>2</v>
      </c>
      <c r="D1223" s="11" t="str">
        <f t="shared" si="28"/>
        <v>UN</v>
      </c>
      <c r="E1223" s="12">
        <v>147.70250000000001</v>
      </c>
      <c r="F1223" s="13">
        <v>0</v>
      </c>
      <c r="G1223" s="14" t="s">
        <v>198</v>
      </c>
    </row>
    <row r="1224" spans="1:7" x14ac:dyDescent="0.25">
      <c r="A1224" s="34" t="str">
        <f>"PIEZA 3300 SERIE A Nº 38"</f>
        <v>PIEZA 3300 SERIE A Nº 38</v>
      </c>
      <c r="B1224" s="2">
        <v>21</v>
      </c>
      <c r="C1224" s="2">
        <v>3</v>
      </c>
      <c r="D1224" s="11" t="str">
        <f t="shared" si="28"/>
        <v>UN</v>
      </c>
      <c r="E1224" s="12">
        <v>13.612500000000002</v>
      </c>
      <c r="F1224" s="13">
        <v>0</v>
      </c>
      <c r="G1224" s="14" t="s">
        <v>198</v>
      </c>
    </row>
    <row r="1225" spans="1:7" x14ac:dyDescent="0.25">
      <c r="A1225" s="34" t="str">
        <f>"PIEZA 3300 SERIE A Nº 42"</f>
        <v>PIEZA 3300 SERIE A Nº 42</v>
      </c>
      <c r="B1225" s="2">
        <v>21</v>
      </c>
      <c r="C1225" s="2">
        <v>1</v>
      </c>
      <c r="D1225" s="11" t="str">
        <f t="shared" si="28"/>
        <v>UN</v>
      </c>
      <c r="E1225" s="12">
        <v>9.8312500000000025</v>
      </c>
      <c r="F1225" s="13">
        <v>0</v>
      </c>
      <c r="G1225" s="14" t="s">
        <v>198</v>
      </c>
    </row>
    <row r="1226" spans="1:7" x14ac:dyDescent="0.25">
      <c r="A1226" s="34" t="str">
        <f>"PIEZA 3300 SERIE A Nº 47-48-49"</f>
        <v>PIEZA 3300 SERIE A Nº 47-48-49</v>
      </c>
      <c r="B1226" s="2">
        <v>21</v>
      </c>
      <c r="C1226" s="2">
        <v>3</v>
      </c>
      <c r="D1226" s="11" t="str">
        <f t="shared" ref="D1226:D1289" si="29">"UN"</f>
        <v>UN</v>
      </c>
      <c r="E1226" s="12">
        <v>164.58750000000003</v>
      </c>
      <c r="F1226" s="13">
        <v>0</v>
      </c>
      <c r="G1226" s="14" t="s">
        <v>198</v>
      </c>
    </row>
    <row r="1227" spans="1:7" x14ac:dyDescent="0.25">
      <c r="A1227" s="34" t="str">
        <f>"PIEZA 3300 SERIE A Nº 55"</f>
        <v>PIEZA 3300 SERIE A Nº 55</v>
      </c>
      <c r="B1227" s="2">
        <v>21</v>
      </c>
      <c r="C1227" s="2">
        <v>2</v>
      </c>
      <c r="D1227" s="11" t="str">
        <f t="shared" si="29"/>
        <v>UN</v>
      </c>
      <c r="E1227" s="12">
        <v>2.4750000000000001</v>
      </c>
      <c r="F1227" s="13">
        <v>0</v>
      </c>
      <c r="G1227" s="14" t="s">
        <v>198</v>
      </c>
    </row>
    <row r="1228" spans="1:7" x14ac:dyDescent="0.25">
      <c r="A1228" s="34" t="str">
        <f>"PIEZA 35 TN LHH 35 Nº 10-01"</f>
        <v>PIEZA 35 TN LHH 35 Nº 10-01</v>
      </c>
      <c r="B1228" s="2">
        <v>21</v>
      </c>
      <c r="C1228" s="2">
        <v>1</v>
      </c>
      <c r="D1228" s="11" t="str">
        <f t="shared" si="29"/>
        <v>UN</v>
      </c>
      <c r="E1228" s="12">
        <v>23.375</v>
      </c>
      <c r="F1228" s="13">
        <v>0</v>
      </c>
      <c r="G1228" s="14" t="s">
        <v>198</v>
      </c>
    </row>
    <row r="1229" spans="1:7" x14ac:dyDescent="0.25">
      <c r="A1229" s="34" t="str">
        <f>"PIEZA 35 TN LHH 35 Nº 10-03"</f>
        <v>PIEZA 35 TN LHH 35 Nº 10-03</v>
      </c>
      <c r="B1229" s="2">
        <v>21</v>
      </c>
      <c r="C1229" s="2">
        <v>1</v>
      </c>
      <c r="D1229" s="11" t="str">
        <f t="shared" si="29"/>
        <v>UN</v>
      </c>
      <c r="E1229" s="12">
        <v>5.8437500000000009</v>
      </c>
      <c r="F1229" s="13">
        <v>0</v>
      </c>
      <c r="G1229" s="14" t="s">
        <v>198</v>
      </c>
    </row>
    <row r="1230" spans="1:7" x14ac:dyDescent="0.25">
      <c r="A1230" s="34" t="str">
        <f>"PIEZA 35 TN LHH 35 Nº 10-05"</f>
        <v>PIEZA 35 TN LHH 35 Nº 10-05</v>
      </c>
      <c r="B1230" s="2">
        <v>21</v>
      </c>
      <c r="C1230" s="2">
        <v>1</v>
      </c>
      <c r="D1230" s="11" t="str">
        <f t="shared" si="29"/>
        <v>UN</v>
      </c>
      <c r="E1230" s="12">
        <v>0.27500000000000008</v>
      </c>
      <c r="F1230" s="13">
        <v>0</v>
      </c>
      <c r="G1230" s="14" t="s">
        <v>198</v>
      </c>
    </row>
    <row r="1231" spans="1:7" x14ac:dyDescent="0.25">
      <c r="A1231" s="34" t="str">
        <f>"PIEZA 35 TN LHH 35 Nº 10-07"</f>
        <v>PIEZA 35 TN LHH 35 Nº 10-07</v>
      </c>
      <c r="B1231" s="2">
        <v>21</v>
      </c>
      <c r="C1231" s="2">
        <v>1</v>
      </c>
      <c r="D1231" s="11" t="str">
        <f t="shared" si="29"/>
        <v>UN</v>
      </c>
      <c r="E1231" s="12">
        <v>0.27500000000000008</v>
      </c>
      <c r="F1231" s="13">
        <v>0</v>
      </c>
      <c r="G1231" s="14" t="s">
        <v>198</v>
      </c>
    </row>
    <row r="1232" spans="1:7" x14ac:dyDescent="0.25">
      <c r="A1232" s="34" t="str">
        <f>"PIEZA 35 TN LHH 35 Nº 10-09"</f>
        <v>PIEZA 35 TN LHH 35 Nº 10-09</v>
      </c>
      <c r="B1232" s="2">
        <v>21</v>
      </c>
      <c r="C1232" s="2">
        <v>1</v>
      </c>
      <c r="D1232" s="11" t="str">
        <f t="shared" si="29"/>
        <v>UN</v>
      </c>
      <c r="E1232" s="12">
        <v>0.6875</v>
      </c>
      <c r="F1232" s="13">
        <v>0</v>
      </c>
      <c r="G1232" s="14" t="s">
        <v>198</v>
      </c>
    </row>
    <row r="1233" spans="1:7" x14ac:dyDescent="0.25">
      <c r="A1233" s="34" t="str">
        <f>"PIEZA 35 TN LHH 35 Nº 10-12"</f>
        <v>PIEZA 35 TN LHH 35 Nº 10-12</v>
      </c>
      <c r="B1233" s="2">
        <v>21</v>
      </c>
      <c r="C1233" s="2">
        <v>1</v>
      </c>
      <c r="D1233" s="11" t="str">
        <f t="shared" si="29"/>
        <v>UN</v>
      </c>
      <c r="E1233" s="12">
        <v>1.3750000000000002</v>
      </c>
      <c r="F1233" s="13">
        <v>0</v>
      </c>
      <c r="G1233" s="14" t="s">
        <v>198</v>
      </c>
    </row>
    <row r="1234" spans="1:7" x14ac:dyDescent="0.25">
      <c r="A1234" s="34" t="str">
        <f>"PIEZA 35 TN LHH 35 Nº 10-16"</f>
        <v>PIEZA 35 TN LHH 35 Nº 10-16</v>
      </c>
      <c r="B1234" s="2">
        <v>21</v>
      </c>
      <c r="C1234" s="2">
        <v>2</v>
      </c>
      <c r="D1234" s="11" t="str">
        <f t="shared" si="29"/>
        <v>UN</v>
      </c>
      <c r="E1234" s="12">
        <v>19.525000000000002</v>
      </c>
      <c r="F1234" s="13">
        <v>0</v>
      </c>
      <c r="G1234" s="14" t="s">
        <v>198</v>
      </c>
    </row>
    <row r="1235" spans="1:7" x14ac:dyDescent="0.25">
      <c r="A1235" s="34" t="str">
        <f>"PIEZA 35 TN LHH 35 Nº 10-22"</f>
        <v>PIEZA 35 TN LHH 35 Nº 10-22</v>
      </c>
      <c r="B1235" s="2">
        <v>21</v>
      </c>
      <c r="C1235" s="2">
        <v>1</v>
      </c>
      <c r="D1235" s="11" t="str">
        <f t="shared" si="29"/>
        <v>UN</v>
      </c>
      <c r="E1235" s="12">
        <v>1.9525000000000003</v>
      </c>
      <c r="F1235" s="13">
        <v>0</v>
      </c>
      <c r="G1235" s="14" t="s">
        <v>198</v>
      </c>
    </row>
    <row r="1236" spans="1:7" x14ac:dyDescent="0.25">
      <c r="A1236" s="34" t="str">
        <f>"PIEZA 35 TN LHH 35 Nº 10-31"</f>
        <v>PIEZA 35 TN LHH 35 Nº 10-31</v>
      </c>
      <c r="B1236" s="2">
        <v>21</v>
      </c>
      <c r="C1236" s="2">
        <v>1</v>
      </c>
      <c r="D1236" s="11" t="str">
        <f t="shared" si="29"/>
        <v>UN</v>
      </c>
      <c r="E1236" s="12">
        <v>101.13125000000001</v>
      </c>
      <c r="F1236" s="13">
        <v>0</v>
      </c>
      <c r="G1236" s="14" t="s">
        <v>198</v>
      </c>
    </row>
    <row r="1237" spans="1:7" x14ac:dyDescent="0.25">
      <c r="A1237" s="34" t="str">
        <f>"PIEZA 3600 SERIE A Nº 01"</f>
        <v>PIEZA 3600 SERIE A Nº 01</v>
      </c>
      <c r="B1237" s="2">
        <v>21</v>
      </c>
      <c r="C1237" s="2">
        <v>2</v>
      </c>
      <c r="D1237" s="11" t="str">
        <f t="shared" si="29"/>
        <v>UN</v>
      </c>
      <c r="E1237" s="12">
        <v>10.862500000000002</v>
      </c>
      <c r="F1237" s="13">
        <v>0</v>
      </c>
      <c r="G1237" s="14" t="s">
        <v>198</v>
      </c>
    </row>
    <row r="1238" spans="1:7" x14ac:dyDescent="0.25">
      <c r="A1238" s="34" t="str">
        <f>"PIEZA 3600 SERIE A Nº 02"</f>
        <v>PIEZA 3600 SERIE A Nº 02</v>
      </c>
      <c r="B1238" s="2">
        <v>21</v>
      </c>
      <c r="C1238" s="2">
        <v>8</v>
      </c>
      <c r="D1238" s="11" t="str">
        <f t="shared" si="29"/>
        <v>UN</v>
      </c>
      <c r="E1238" s="12">
        <v>4.95</v>
      </c>
      <c r="F1238" s="13">
        <v>0</v>
      </c>
      <c r="G1238" s="14" t="s">
        <v>198</v>
      </c>
    </row>
    <row r="1239" spans="1:7" x14ac:dyDescent="0.25">
      <c r="A1239" s="34" t="str">
        <f>"PIEZA 3600 SERIE A Nº 03"</f>
        <v>PIEZA 3600 SERIE A Nº 03</v>
      </c>
      <c r="B1239" s="2">
        <v>21</v>
      </c>
      <c r="C1239" s="2">
        <v>9</v>
      </c>
      <c r="D1239" s="11" t="str">
        <f t="shared" si="29"/>
        <v>UN</v>
      </c>
      <c r="E1239" s="12">
        <v>21.656250000000004</v>
      </c>
      <c r="F1239" s="13">
        <v>0</v>
      </c>
      <c r="G1239" s="14" t="s">
        <v>198</v>
      </c>
    </row>
    <row r="1240" spans="1:7" x14ac:dyDescent="0.25">
      <c r="A1240" s="34" t="str">
        <f>"PIEZA 3600 SERIE A Nº 06"</f>
        <v>PIEZA 3600 SERIE A Nº 06</v>
      </c>
      <c r="B1240" s="2">
        <v>21</v>
      </c>
      <c r="C1240" s="2">
        <v>1</v>
      </c>
      <c r="D1240" s="11" t="str">
        <f t="shared" si="29"/>
        <v>UN</v>
      </c>
      <c r="E1240" s="12">
        <v>2.40625</v>
      </c>
      <c r="F1240" s="13">
        <v>0</v>
      </c>
      <c r="G1240" s="14" t="s">
        <v>198</v>
      </c>
    </row>
    <row r="1241" spans="1:7" x14ac:dyDescent="0.25">
      <c r="A1241" s="34" t="str">
        <f>"PIEZA 3600 SERIE A Nº 10"</f>
        <v>PIEZA 3600 SERIE A Nº 10</v>
      </c>
      <c r="B1241" s="2">
        <v>21</v>
      </c>
      <c r="C1241" s="2">
        <v>7</v>
      </c>
      <c r="D1241" s="11" t="str">
        <f t="shared" si="29"/>
        <v>UN</v>
      </c>
      <c r="E1241" s="12">
        <v>4.0424999999999995</v>
      </c>
      <c r="F1241" s="13">
        <v>0</v>
      </c>
      <c r="G1241" s="14" t="s">
        <v>198</v>
      </c>
    </row>
    <row r="1242" spans="1:7" x14ac:dyDescent="0.25">
      <c r="A1242" s="34" t="str">
        <f>"PIEZA 3600 SERIE A Nº 25"</f>
        <v>PIEZA 3600 SERIE A Nº 25</v>
      </c>
      <c r="B1242" s="2">
        <v>21</v>
      </c>
      <c r="C1242" s="2">
        <v>8</v>
      </c>
      <c r="D1242" s="11" t="str">
        <f t="shared" si="29"/>
        <v>UN</v>
      </c>
      <c r="E1242" s="12">
        <v>42.680000000000007</v>
      </c>
      <c r="F1242" s="13">
        <v>0</v>
      </c>
      <c r="G1242" s="14" t="s">
        <v>198</v>
      </c>
    </row>
    <row r="1243" spans="1:7" x14ac:dyDescent="0.25">
      <c r="A1243" s="34" t="str">
        <f>"PIEZA 3600 SERIE A Nº 29"</f>
        <v>PIEZA 3600 SERIE A Nº 29</v>
      </c>
      <c r="B1243" s="2">
        <v>21</v>
      </c>
      <c r="C1243" s="2">
        <v>2</v>
      </c>
      <c r="D1243" s="11" t="str">
        <f t="shared" si="29"/>
        <v>UN</v>
      </c>
      <c r="E1243" s="12">
        <v>45.705000000000005</v>
      </c>
      <c r="F1243" s="13">
        <v>0</v>
      </c>
      <c r="G1243" s="14" t="s">
        <v>198</v>
      </c>
    </row>
    <row r="1244" spans="1:7" x14ac:dyDescent="0.25">
      <c r="A1244" s="34" t="str">
        <f>"PIEZA 3600 SERIE A Nº 32"</f>
        <v>PIEZA 3600 SERIE A Nº 32</v>
      </c>
      <c r="B1244" s="2">
        <v>21</v>
      </c>
      <c r="C1244" s="2">
        <v>10</v>
      </c>
      <c r="D1244" s="11" t="str">
        <f t="shared" si="29"/>
        <v>UN</v>
      </c>
      <c r="E1244" s="12">
        <v>50.875000000000007</v>
      </c>
      <c r="F1244" s="13">
        <v>0</v>
      </c>
      <c r="G1244" s="14" t="s">
        <v>198</v>
      </c>
    </row>
    <row r="1245" spans="1:7" x14ac:dyDescent="0.25">
      <c r="A1245" s="34" t="str">
        <f>"PIEZA 3600 SERIE B Nº 05"</f>
        <v>PIEZA 3600 SERIE B Nº 05</v>
      </c>
      <c r="B1245" s="2">
        <v>21</v>
      </c>
      <c r="C1245" s="2">
        <v>4</v>
      </c>
      <c r="D1245" s="11" t="str">
        <f t="shared" si="29"/>
        <v>UN</v>
      </c>
      <c r="E1245" s="12">
        <v>10.725000000000001</v>
      </c>
      <c r="F1245" s="13">
        <v>0</v>
      </c>
      <c r="G1245" s="14" t="s">
        <v>198</v>
      </c>
    </row>
    <row r="1246" spans="1:7" x14ac:dyDescent="0.25">
      <c r="A1246" s="34" t="str">
        <f>"PIEZA 3600 SERIE B Nº 16"</f>
        <v>PIEZA 3600 SERIE B Nº 16</v>
      </c>
      <c r="B1246" s="2">
        <v>21</v>
      </c>
      <c r="C1246" s="2">
        <v>2</v>
      </c>
      <c r="D1246" s="11" t="str">
        <f t="shared" si="29"/>
        <v>UN</v>
      </c>
      <c r="E1246" s="12">
        <v>12.100000000000001</v>
      </c>
      <c r="F1246" s="13">
        <v>0</v>
      </c>
      <c r="G1246" s="14" t="s">
        <v>198</v>
      </c>
    </row>
    <row r="1247" spans="1:7" x14ac:dyDescent="0.25">
      <c r="A1247" s="34" t="str">
        <f>"PIEZA 3600 SERIE B Nº 35"</f>
        <v>PIEZA 3600 SERIE B Nº 35</v>
      </c>
      <c r="B1247" s="2">
        <v>21</v>
      </c>
      <c r="C1247" s="2">
        <v>1</v>
      </c>
      <c r="D1247" s="11" t="str">
        <f t="shared" si="29"/>
        <v>UN</v>
      </c>
      <c r="E1247" s="12">
        <v>34.457500000000003</v>
      </c>
      <c r="F1247" s="13">
        <v>0</v>
      </c>
      <c r="G1247" s="14" t="s">
        <v>198</v>
      </c>
    </row>
    <row r="1248" spans="1:7" x14ac:dyDescent="0.25">
      <c r="A1248" s="34" t="str">
        <f>"PIEZA 3600 SERIE B Nº 38"</f>
        <v>PIEZA 3600 SERIE B Nº 38</v>
      </c>
      <c r="B1248" s="2">
        <v>21</v>
      </c>
      <c r="C1248" s="2">
        <v>16</v>
      </c>
      <c r="D1248" s="11" t="str">
        <f t="shared" si="29"/>
        <v>UN</v>
      </c>
      <c r="E1248" s="12">
        <v>27.5</v>
      </c>
      <c r="F1248" s="13">
        <v>0</v>
      </c>
      <c r="G1248" s="14" t="s">
        <v>198</v>
      </c>
    </row>
    <row r="1249" spans="1:7" x14ac:dyDescent="0.25">
      <c r="A1249" s="34" t="str">
        <f>"PIEZA 3600 SERIE B Nº 39"</f>
        <v>PIEZA 3600 SERIE B Nº 39</v>
      </c>
      <c r="B1249" s="2">
        <v>21</v>
      </c>
      <c r="C1249" s="2">
        <v>3</v>
      </c>
      <c r="D1249" s="11" t="str">
        <f t="shared" si="29"/>
        <v>UN</v>
      </c>
      <c r="E1249" s="12">
        <v>2.2687499999999998</v>
      </c>
      <c r="F1249" s="13">
        <v>0</v>
      </c>
      <c r="G1249" s="14" t="s">
        <v>198</v>
      </c>
    </row>
    <row r="1250" spans="1:7" x14ac:dyDescent="0.25">
      <c r="A1250" s="34" t="str">
        <f>"PIEZA 3600 SERIE B Nº 43"</f>
        <v>PIEZA 3600 SERIE B Nº 43</v>
      </c>
      <c r="B1250" s="2">
        <v>21</v>
      </c>
      <c r="C1250" s="2">
        <v>3</v>
      </c>
      <c r="D1250" s="11" t="str">
        <f t="shared" si="29"/>
        <v>UN</v>
      </c>
      <c r="E1250" s="12">
        <v>24.337500000000009</v>
      </c>
      <c r="F1250" s="13">
        <v>0</v>
      </c>
      <c r="G1250" s="14" t="s">
        <v>198</v>
      </c>
    </row>
    <row r="1251" spans="1:7" x14ac:dyDescent="0.25">
      <c r="A1251" s="34" t="str">
        <f>"PIEZA 3600 SERIE B Nº 52"</f>
        <v>PIEZA 3600 SERIE B Nº 52</v>
      </c>
      <c r="B1251" s="2">
        <v>21</v>
      </c>
      <c r="C1251" s="2">
        <v>2</v>
      </c>
      <c r="D1251" s="11" t="str">
        <f t="shared" si="29"/>
        <v>UN</v>
      </c>
      <c r="E1251" s="12">
        <v>7.9750000000000005</v>
      </c>
      <c r="F1251" s="13">
        <v>0</v>
      </c>
      <c r="G1251" s="14" t="s">
        <v>198</v>
      </c>
    </row>
    <row r="1252" spans="1:7" x14ac:dyDescent="0.25">
      <c r="A1252" s="34" t="str">
        <f>"PIEZA 3700 SERIE A Nº 24"</f>
        <v>PIEZA 3700 SERIE A Nº 24</v>
      </c>
      <c r="B1252" s="2">
        <v>21</v>
      </c>
      <c r="C1252" s="2">
        <v>4</v>
      </c>
      <c r="D1252" s="11" t="str">
        <f t="shared" si="29"/>
        <v>UN</v>
      </c>
      <c r="E1252" s="12">
        <v>14.3</v>
      </c>
      <c r="F1252" s="13">
        <v>0</v>
      </c>
      <c r="G1252" s="14" t="s">
        <v>198</v>
      </c>
    </row>
    <row r="1253" spans="1:7" x14ac:dyDescent="0.25">
      <c r="A1253" s="34" t="str">
        <f>"PIEZA 3700 SERIE A Nº 38"</f>
        <v>PIEZA 3700 SERIE A Nº 38</v>
      </c>
      <c r="B1253" s="2">
        <v>21</v>
      </c>
      <c r="C1253" s="2">
        <v>1</v>
      </c>
      <c r="D1253" s="11" t="str">
        <f t="shared" si="29"/>
        <v>UN</v>
      </c>
      <c r="E1253" s="12">
        <v>17.187500000000004</v>
      </c>
      <c r="F1253" s="13">
        <v>0</v>
      </c>
      <c r="G1253" s="14" t="s">
        <v>198</v>
      </c>
    </row>
    <row r="1254" spans="1:7" x14ac:dyDescent="0.25">
      <c r="A1254" s="34" t="str">
        <f>"PIEZA 3700 SERIE A Nº 40"</f>
        <v>PIEZA 3700 SERIE A Nº 40</v>
      </c>
      <c r="B1254" s="2">
        <v>21</v>
      </c>
      <c r="C1254" s="2">
        <v>1</v>
      </c>
      <c r="D1254" s="11" t="str">
        <f t="shared" si="29"/>
        <v>UN</v>
      </c>
      <c r="E1254" s="12">
        <v>55.137499999999996</v>
      </c>
      <c r="F1254" s="13">
        <v>0</v>
      </c>
      <c r="G1254" s="14" t="s">
        <v>198</v>
      </c>
    </row>
    <row r="1255" spans="1:7" x14ac:dyDescent="0.25">
      <c r="A1255" s="34" t="str">
        <f>"PIEZA 3700 SERIE A Nº 44"</f>
        <v>PIEZA 3700 SERIE A Nº 44</v>
      </c>
      <c r="B1255" s="2">
        <v>21</v>
      </c>
      <c r="C1255" s="2">
        <v>4</v>
      </c>
      <c r="D1255" s="11" t="str">
        <f t="shared" si="29"/>
        <v>UN</v>
      </c>
      <c r="E1255" s="12">
        <v>5.7750000000000012</v>
      </c>
      <c r="F1255" s="13">
        <v>0</v>
      </c>
      <c r="G1255" s="14" t="s">
        <v>198</v>
      </c>
    </row>
    <row r="1256" spans="1:7" x14ac:dyDescent="0.25">
      <c r="A1256" s="34" t="str">
        <f>"PIEZA 3700 SERIE A Nº 48"</f>
        <v>PIEZA 3700 SERIE A Nº 48</v>
      </c>
      <c r="B1256" s="2">
        <v>21</v>
      </c>
      <c r="C1256" s="2">
        <v>5</v>
      </c>
      <c r="D1256" s="11" t="str">
        <f t="shared" si="29"/>
        <v>UN</v>
      </c>
      <c r="E1256" s="12">
        <v>8.5937500000000018</v>
      </c>
      <c r="F1256" s="13">
        <v>0</v>
      </c>
      <c r="G1256" s="14" t="s">
        <v>198</v>
      </c>
    </row>
    <row r="1257" spans="1:7" x14ac:dyDescent="0.25">
      <c r="A1257" s="34" t="str">
        <f>"PIEZA 3700 SERIE A Nº 50"</f>
        <v>PIEZA 3700 SERIE A Nº 50</v>
      </c>
      <c r="B1257" s="2">
        <v>21</v>
      </c>
      <c r="C1257" s="2">
        <v>2</v>
      </c>
      <c r="D1257" s="11" t="str">
        <f t="shared" si="29"/>
        <v>UN</v>
      </c>
      <c r="E1257" s="12">
        <v>46.2</v>
      </c>
      <c r="F1257" s="13">
        <v>0</v>
      </c>
      <c r="G1257" s="14" t="s">
        <v>198</v>
      </c>
    </row>
    <row r="1258" spans="1:7" x14ac:dyDescent="0.25">
      <c r="A1258" s="34" t="str">
        <f>"PIEZA 4100 SERIE A Nº 01"</f>
        <v>PIEZA 4100 SERIE A Nº 01</v>
      </c>
      <c r="B1258" s="2">
        <v>21</v>
      </c>
      <c r="C1258" s="2">
        <v>1</v>
      </c>
      <c r="D1258" s="11" t="str">
        <f t="shared" si="29"/>
        <v>UN</v>
      </c>
      <c r="E1258" s="12">
        <v>0</v>
      </c>
      <c r="F1258" s="13">
        <v>0</v>
      </c>
      <c r="G1258" s="14" t="s">
        <v>198</v>
      </c>
    </row>
    <row r="1259" spans="1:7" x14ac:dyDescent="0.25">
      <c r="A1259" s="34" t="str">
        <f>"PIEZA 4100 SERIE A Nº 04"</f>
        <v>PIEZA 4100 SERIE A Nº 04</v>
      </c>
      <c r="B1259" s="2">
        <v>21</v>
      </c>
      <c r="C1259" s="2">
        <v>2</v>
      </c>
      <c r="D1259" s="11" t="str">
        <f t="shared" si="29"/>
        <v>UN</v>
      </c>
      <c r="E1259" s="12">
        <v>1.9525000000000001</v>
      </c>
      <c r="F1259" s="13">
        <v>0</v>
      </c>
      <c r="G1259" s="14" t="s">
        <v>198</v>
      </c>
    </row>
    <row r="1260" spans="1:7" x14ac:dyDescent="0.25">
      <c r="A1260" s="34" t="str">
        <f>"PIEZA 4100 SERIE A Nº 05"</f>
        <v>PIEZA 4100 SERIE A Nº 05</v>
      </c>
      <c r="B1260" s="2">
        <v>21</v>
      </c>
      <c r="C1260" s="2">
        <v>1</v>
      </c>
      <c r="D1260" s="11" t="str">
        <f t="shared" si="29"/>
        <v>UN</v>
      </c>
      <c r="E1260" s="12">
        <v>3.3412500000000005</v>
      </c>
      <c r="F1260" s="13">
        <v>0</v>
      </c>
      <c r="G1260" s="14" t="s">
        <v>198</v>
      </c>
    </row>
    <row r="1261" spans="1:7" x14ac:dyDescent="0.25">
      <c r="A1261" s="34" t="str">
        <f>"PIEZA 4100 SERIE A Nº 09"</f>
        <v>PIEZA 4100 SERIE A Nº 09</v>
      </c>
      <c r="B1261" s="2">
        <v>21</v>
      </c>
      <c r="C1261" s="2">
        <v>5</v>
      </c>
      <c r="D1261" s="11" t="str">
        <f t="shared" si="29"/>
        <v>UN</v>
      </c>
      <c r="E1261" s="12">
        <v>29.493750000000006</v>
      </c>
      <c r="F1261" s="13">
        <v>0</v>
      </c>
      <c r="G1261" s="14" t="s">
        <v>198</v>
      </c>
    </row>
    <row r="1262" spans="1:7" x14ac:dyDescent="0.25">
      <c r="A1262" s="34" t="str">
        <f>"PIEZA 4100 SERIE A Nº 10"</f>
        <v>PIEZA 4100 SERIE A Nº 10</v>
      </c>
      <c r="B1262" s="2">
        <v>21</v>
      </c>
      <c r="C1262" s="2">
        <v>26</v>
      </c>
      <c r="D1262" s="11" t="str">
        <f t="shared" si="29"/>
        <v>UN</v>
      </c>
      <c r="E1262" s="12">
        <v>117.61750000000001</v>
      </c>
      <c r="F1262" s="13">
        <v>0</v>
      </c>
      <c r="G1262" s="14" t="s">
        <v>198</v>
      </c>
    </row>
    <row r="1263" spans="1:7" x14ac:dyDescent="0.25">
      <c r="A1263" s="34" t="str">
        <f>"PIEZA 4100 SERIE A Nº 21"</f>
        <v>PIEZA 4100 SERIE A Nº 21</v>
      </c>
      <c r="B1263" s="2">
        <v>21</v>
      </c>
      <c r="C1263" s="2">
        <v>4</v>
      </c>
      <c r="D1263" s="11" t="str">
        <f t="shared" si="29"/>
        <v>UN</v>
      </c>
      <c r="E1263" s="12">
        <v>18.094999999999999</v>
      </c>
      <c r="F1263" s="13">
        <v>0</v>
      </c>
      <c r="G1263" s="14" t="s">
        <v>198</v>
      </c>
    </row>
    <row r="1264" spans="1:7" x14ac:dyDescent="0.25">
      <c r="A1264" s="34" t="str">
        <f>"PIEZA 4100 SERIE A Nº 22"</f>
        <v>PIEZA 4100 SERIE A Nº 22</v>
      </c>
      <c r="B1264" s="2">
        <v>21</v>
      </c>
      <c r="C1264" s="2">
        <v>21</v>
      </c>
      <c r="D1264" s="11" t="str">
        <f t="shared" si="29"/>
        <v>UN</v>
      </c>
      <c r="E1264" s="12">
        <v>235.04250000000008</v>
      </c>
      <c r="F1264" s="13">
        <v>0</v>
      </c>
      <c r="G1264" s="14" t="s">
        <v>198</v>
      </c>
    </row>
    <row r="1265" spans="1:7" x14ac:dyDescent="0.25">
      <c r="A1265" s="34" t="str">
        <f>"PIEZA 4100 SERIE A Nº 25"</f>
        <v>PIEZA 4100 SERIE A Nº 25</v>
      </c>
      <c r="B1265" s="2">
        <v>21</v>
      </c>
      <c r="C1265" s="2">
        <v>6</v>
      </c>
      <c r="D1265" s="11" t="str">
        <f t="shared" si="29"/>
        <v>UN</v>
      </c>
      <c r="E1265" s="12">
        <v>86.625000000000014</v>
      </c>
      <c r="F1265" s="13">
        <v>0</v>
      </c>
      <c r="G1265" s="14" t="s">
        <v>198</v>
      </c>
    </row>
    <row r="1266" spans="1:7" x14ac:dyDescent="0.25">
      <c r="A1266" s="34" t="str">
        <f>"PIEZA 4100 SERIE A Nº 29"</f>
        <v>PIEZA 4100 SERIE A Nº 29</v>
      </c>
      <c r="B1266" s="2">
        <v>21</v>
      </c>
      <c r="C1266" s="2">
        <v>20</v>
      </c>
      <c r="D1266" s="11" t="str">
        <f t="shared" si="29"/>
        <v>UN</v>
      </c>
      <c r="E1266" s="12">
        <v>314.32500000000005</v>
      </c>
      <c r="F1266" s="13">
        <v>0</v>
      </c>
      <c r="G1266" s="14" t="s">
        <v>198</v>
      </c>
    </row>
    <row r="1267" spans="1:7" x14ac:dyDescent="0.25">
      <c r="A1267" s="34" t="str">
        <f>"PIEZA 4100 SERIE B Nº 08"</f>
        <v>PIEZA 4100 SERIE B Nº 08</v>
      </c>
      <c r="B1267" s="2">
        <v>21</v>
      </c>
      <c r="C1267" s="2">
        <v>15</v>
      </c>
      <c r="D1267" s="11" t="str">
        <f t="shared" si="29"/>
        <v>UN</v>
      </c>
      <c r="E1267" s="12">
        <v>44.137500000000003</v>
      </c>
      <c r="F1267" s="13">
        <v>0</v>
      </c>
      <c r="G1267" s="14" t="s">
        <v>198</v>
      </c>
    </row>
    <row r="1268" spans="1:7" x14ac:dyDescent="0.25">
      <c r="A1268" s="34" t="str">
        <f>"PIEZA 4100 SERIE B Nº 14"</f>
        <v>PIEZA 4100 SERIE B Nº 14</v>
      </c>
      <c r="B1268" s="2">
        <v>21</v>
      </c>
      <c r="C1268" s="2">
        <v>2</v>
      </c>
      <c r="D1268" s="11" t="str">
        <f t="shared" si="29"/>
        <v>UN</v>
      </c>
      <c r="E1268" s="12">
        <v>91.547499999999999</v>
      </c>
      <c r="F1268" s="13">
        <v>0</v>
      </c>
      <c r="G1268" s="14" t="s">
        <v>198</v>
      </c>
    </row>
    <row r="1269" spans="1:7" x14ac:dyDescent="0.25">
      <c r="A1269" s="34" t="str">
        <f>"PIEZA 4100 SERIE B Nº 19"</f>
        <v>PIEZA 4100 SERIE B Nº 19</v>
      </c>
      <c r="B1269" s="2">
        <v>21</v>
      </c>
      <c r="C1269" s="2">
        <v>4</v>
      </c>
      <c r="D1269" s="11" t="str">
        <f t="shared" si="29"/>
        <v>UN</v>
      </c>
      <c r="E1269" s="12">
        <v>69.905000000000015</v>
      </c>
      <c r="F1269" s="13">
        <v>0</v>
      </c>
      <c r="G1269" s="14" t="s">
        <v>198</v>
      </c>
    </row>
    <row r="1270" spans="1:7" x14ac:dyDescent="0.25">
      <c r="A1270" s="34" t="str">
        <f>"PIEZA 4100 SERIE B Nº 21"</f>
        <v>PIEZA 4100 SERIE B Nº 21</v>
      </c>
      <c r="B1270" s="2">
        <v>21</v>
      </c>
      <c r="C1270" s="2">
        <v>6</v>
      </c>
      <c r="D1270" s="11" t="str">
        <f t="shared" si="29"/>
        <v>UN</v>
      </c>
      <c r="E1270" s="12">
        <v>9.4049999999999994</v>
      </c>
      <c r="F1270" s="13">
        <v>0</v>
      </c>
      <c r="G1270" s="14" t="s">
        <v>198</v>
      </c>
    </row>
    <row r="1271" spans="1:7" x14ac:dyDescent="0.25">
      <c r="A1271" s="34" t="str">
        <f>"PIEZA 4100 SERIE B Nº 25"</f>
        <v>PIEZA 4100 SERIE B Nº 25</v>
      </c>
      <c r="B1271" s="2">
        <v>21</v>
      </c>
      <c r="C1271" s="2">
        <v>10</v>
      </c>
      <c r="D1271" s="11" t="str">
        <f t="shared" si="29"/>
        <v>UN</v>
      </c>
      <c r="E1271" s="12">
        <v>5.9124999999999996</v>
      </c>
      <c r="F1271" s="13">
        <v>0</v>
      </c>
      <c r="G1271" s="14" t="s">
        <v>198</v>
      </c>
    </row>
    <row r="1272" spans="1:7" x14ac:dyDescent="0.25">
      <c r="A1272" s="34" t="str">
        <f>"PIEZA 4100 SERIE B Nº 26"</f>
        <v>PIEZA 4100 SERIE B Nº 26</v>
      </c>
      <c r="B1272" s="2">
        <v>21</v>
      </c>
      <c r="C1272" s="2">
        <v>2</v>
      </c>
      <c r="D1272" s="11" t="str">
        <f t="shared" si="29"/>
        <v>UN</v>
      </c>
      <c r="E1272" s="12">
        <v>14.465000000000003</v>
      </c>
      <c r="F1272" s="13">
        <v>0</v>
      </c>
      <c r="G1272" s="14" t="s">
        <v>198</v>
      </c>
    </row>
    <row r="1273" spans="1:7" x14ac:dyDescent="0.25">
      <c r="A1273" s="34" t="str">
        <f>"PIEZA 4100 SERIE B Nº 27"</f>
        <v>PIEZA 4100 SERIE B Nº 27</v>
      </c>
      <c r="B1273" s="2">
        <v>21</v>
      </c>
      <c r="C1273" s="2">
        <v>20</v>
      </c>
      <c r="D1273" s="11" t="str">
        <f t="shared" si="29"/>
        <v>UN</v>
      </c>
      <c r="E1273" s="12">
        <v>11.824999999999999</v>
      </c>
      <c r="F1273" s="13">
        <v>0</v>
      </c>
      <c r="G1273" s="14" t="s">
        <v>198</v>
      </c>
    </row>
    <row r="1274" spans="1:7" x14ac:dyDescent="0.25">
      <c r="A1274" s="34" t="str">
        <f>"PIEZA 4100 SERIE B Nº 28"</f>
        <v>PIEZA 4100 SERIE B Nº 28</v>
      </c>
      <c r="B1274" s="2">
        <v>21</v>
      </c>
      <c r="C1274" s="2">
        <v>7</v>
      </c>
      <c r="D1274" s="11" t="str">
        <f t="shared" si="29"/>
        <v>UN</v>
      </c>
      <c r="E1274" s="12">
        <v>4.1387500000000008</v>
      </c>
      <c r="F1274" s="13">
        <v>0</v>
      </c>
      <c r="G1274" s="14" t="s">
        <v>198</v>
      </c>
    </row>
    <row r="1275" spans="1:7" x14ac:dyDescent="0.25">
      <c r="A1275" s="34" t="str">
        <f>"PIEZA 4100 SERIE B Nº 29"</f>
        <v>PIEZA 4100 SERIE B Nº 29</v>
      </c>
      <c r="B1275" s="2">
        <v>21</v>
      </c>
      <c r="C1275" s="2">
        <v>3</v>
      </c>
      <c r="D1275" s="11" t="str">
        <f t="shared" si="29"/>
        <v>UN</v>
      </c>
      <c r="E1275" s="12">
        <v>21.697500000000002</v>
      </c>
      <c r="F1275" s="13">
        <v>0</v>
      </c>
      <c r="G1275" s="14" t="s">
        <v>198</v>
      </c>
    </row>
    <row r="1276" spans="1:7" x14ac:dyDescent="0.25">
      <c r="A1276" s="34" t="str">
        <f>"PIEZA 4100 SERIE B Nº 30"</f>
        <v>PIEZA 4100 SERIE B Nº 30</v>
      </c>
      <c r="B1276" s="2">
        <v>21</v>
      </c>
      <c r="C1276" s="2">
        <v>14</v>
      </c>
      <c r="D1276" s="11" t="str">
        <f t="shared" si="29"/>
        <v>UN</v>
      </c>
      <c r="E1276" s="12">
        <v>10.972499999999998</v>
      </c>
      <c r="F1276" s="13">
        <v>0</v>
      </c>
      <c r="G1276" s="14" t="s">
        <v>198</v>
      </c>
    </row>
    <row r="1277" spans="1:7" x14ac:dyDescent="0.25">
      <c r="A1277" s="34" t="str">
        <f>"PIEZA 4100 SERIE C Nº 14"</f>
        <v>PIEZA 4100 SERIE C Nº 14</v>
      </c>
      <c r="B1277" s="2">
        <v>21</v>
      </c>
      <c r="C1277" s="2">
        <v>3</v>
      </c>
      <c r="D1277" s="11" t="str">
        <f t="shared" si="29"/>
        <v>UN</v>
      </c>
      <c r="E1277" s="12">
        <v>14.437500000000002</v>
      </c>
      <c r="F1277" s="13">
        <v>0</v>
      </c>
      <c r="G1277" s="14" t="s">
        <v>198</v>
      </c>
    </row>
    <row r="1278" spans="1:7" x14ac:dyDescent="0.25">
      <c r="A1278" s="34" t="str">
        <f>"PIEZA 4100 SERIE C Nº 15"</f>
        <v>PIEZA 4100 SERIE C Nº 15</v>
      </c>
      <c r="B1278" s="2">
        <v>21</v>
      </c>
      <c r="C1278" s="2">
        <v>6</v>
      </c>
      <c r="D1278" s="11" t="str">
        <f t="shared" si="29"/>
        <v>UN</v>
      </c>
      <c r="E1278" s="12">
        <v>6.6000000000000032</v>
      </c>
      <c r="F1278" s="13">
        <v>0</v>
      </c>
      <c r="G1278" s="14" t="s">
        <v>198</v>
      </c>
    </row>
    <row r="1279" spans="1:7" x14ac:dyDescent="0.25">
      <c r="A1279" s="34" t="str">
        <f>"PIEZA 4100 SERIE C Nº 16"</f>
        <v>PIEZA 4100 SERIE C Nº 16</v>
      </c>
      <c r="B1279" s="2">
        <v>21</v>
      </c>
      <c r="C1279" s="2">
        <v>8</v>
      </c>
      <c r="D1279" s="11" t="str">
        <f t="shared" si="29"/>
        <v>UN</v>
      </c>
      <c r="E1279" s="12">
        <v>179.19</v>
      </c>
      <c r="F1279" s="13">
        <v>0</v>
      </c>
      <c r="G1279" s="14" t="s">
        <v>198</v>
      </c>
    </row>
    <row r="1280" spans="1:7" x14ac:dyDescent="0.25">
      <c r="A1280" s="34" t="str">
        <f>"PIEZA 4100 SERIE C Nº 17"</f>
        <v>PIEZA 4100 SERIE C Nº 17</v>
      </c>
      <c r="B1280" s="2">
        <v>21</v>
      </c>
      <c r="C1280" s="2">
        <v>4</v>
      </c>
      <c r="D1280" s="11" t="str">
        <f t="shared" si="29"/>
        <v>UN</v>
      </c>
      <c r="E1280" s="12">
        <v>8.25</v>
      </c>
      <c r="F1280" s="13">
        <v>0</v>
      </c>
      <c r="G1280" s="14" t="s">
        <v>198</v>
      </c>
    </row>
    <row r="1281" spans="1:7" x14ac:dyDescent="0.25">
      <c r="A1281" s="34" t="str">
        <f>"PIEZA 4100 SERIE C Nº 18"</f>
        <v>PIEZA 4100 SERIE C Nº 18</v>
      </c>
      <c r="B1281" s="2">
        <v>21</v>
      </c>
      <c r="C1281" s="2">
        <v>1</v>
      </c>
      <c r="D1281" s="11" t="str">
        <f t="shared" si="29"/>
        <v>UN</v>
      </c>
      <c r="E1281" s="12">
        <v>10.65625</v>
      </c>
      <c r="F1281" s="13">
        <v>0</v>
      </c>
      <c r="G1281" s="14" t="s">
        <v>198</v>
      </c>
    </row>
    <row r="1282" spans="1:7" x14ac:dyDescent="0.25">
      <c r="A1282" s="34" t="str">
        <f>"PIEZA 4100 SERIE C Nº 21"</f>
        <v>PIEZA 4100 SERIE C Nº 21</v>
      </c>
      <c r="B1282" s="2">
        <v>21</v>
      </c>
      <c r="C1282" s="2">
        <v>4</v>
      </c>
      <c r="D1282" s="11" t="str">
        <f t="shared" si="29"/>
        <v>UN</v>
      </c>
      <c r="E1282" s="12">
        <v>28.930000000000003</v>
      </c>
      <c r="F1282" s="13">
        <v>0</v>
      </c>
      <c r="G1282" s="14" t="s">
        <v>198</v>
      </c>
    </row>
    <row r="1283" spans="1:7" x14ac:dyDescent="0.25">
      <c r="A1283" s="34" t="str">
        <f>"PIEZA 4100 SERIE C Nº 22"</f>
        <v>PIEZA 4100 SERIE C Nº 22</v>
      </c>
      <c r="B1283" s="2">
        <v>21</v>
      </c>
      <c r="C1283" s="2">
        <v>2</v>
      </c>
      <c r="D1283" s="11" t="str">
        <f t="shared" si="29"/>
        <v>UN</v>
      </c>
      <c r="E1283" s="12">
        <v>31.432500000000001</v>
      </c>
      <c r="F1283" s="13">
        <v>0</v>
      </c>
      <c r="G1283" s="14" t="s">
        <v>198</v>
      </c>
    </row>
    <row r="1284" spans="1:7" x14ac:dyDescent="0.25">
      <c r="A1284" s="34" t="str">
        <f>"PIEZA 4100 SERIE D Nº 03"</f>
        <v>PIEZA 4100 SERIE D Nº 03</v>
      </c>
      <c r="B1284" s="2">
        <v>21</v>
      </c>
      <c r="C1284" s="2">
        <v>5</v>
      </c>
      <c r="D1284" s="11" t="str">
        <f t="shared" si="29"/>
        <v>UN</v>
      </c>
      <c r="E1284" s="12">
        <v>91.437500000000014</v>
      </c>
      <c r="F1284" s="13">
        <v>0</v>
      </c>
      <c r="G1284" s="14" t="s">
        <v>198</v>
      </c>
    </row>
    <row r="1285" spans="1:7" x14ac:dyDescent="0.25">
      <c r="A1285" s="34" t="str">
        <f>"PIEZA 4100 SERIE D Nº 04"</f>
        <v>PIEZA 4100 SERIE D Nº 04</v>
      </c>
      <c r="B1285" s="2">
        <v>21</v>
      </c>
      <c r="C1285" s="2">
        <v>3</v>
      </c>
      <c r="D1285" s="11" t="str">
        <f t="shared" si="29"/>
        <v>UN</v>
      </c>
      <c r="E1285" s="12">
        <v>52.387500000000003</v>
      </c>
      <c r="F1285" s="13">
        <v>0</v>
      </c>
      <c r="G1285" s="14" t="s">
        <v>198</v>
      </c>
    </row>
    <row r="1286" spans="1:7" x14ac:dyDescent="0.25">
      <c r="A1286" s="34" t="str">
        <f>"PIEZA 4100 SERIE D Nº 07"</f>
        <v>PIEZA 4100 SERIE D Nº 07</v>
      </c>
      <c r="B1286" s="2">
        <v>21</v>
      </c>
      <c r="C1286" s="2">
        <v>3</v>
      </c>
      <c r="D1286" s="11" t="str">
        <f t="shared" si="29"/>
        <v>UN</v>
      </c>
      <c r="E1286" s="12">
        <v>2.6812500000000004</v>
      </c>
      <c r="F1286" s="13">
        <v>0</v>
      </c>
      <c r="G1286" s="14" t="s">
        <v>198</v>
      </c>
    </row>
    <row r="1287" spans="1:7" x14ac:dyDescent="0.25">
      <c r="A1287" s="34" t="str">
        <f>"PIEZA 4100 SERIE D Nº 09"</f>
        <v>PIEZA 4100 SERIE D Nº 09</v>
      </c>
      <c r="B1287" s="2">
        <v>21</v>
      </c>
      <c r="C1287" s="2">
        <v>10</v>
      </c>
      <c r="D1287" s="11" t="str">
        <f t="shared" si="29"/>
        <v>UN</v>
      </c>
      <c r="E1287" s="12">
        <v>6.1875000000000018</v>
      </c>
      <c r="F1287" s="13">
        <v>0</v>
      </c>
      <c r="G1287" s="14" t="s">
        <v>198</v>
      </c>
    </row>
    <row r="1288" spans="1:7" x14ac:dyDescent="0.25">
      <c r="A1288" s="34" t="str">
        <f>"PIEZA 4100 SERIE D Nº 11"</f>
        <v>PIEZA 4100 SERIE D Nº 11</v>
      </c>
      <c r="B1288" s="2">
        <v>21</v>
      </c>
      <c r="C1288" s="2">
        <v>15</v>
      </c>
      <c r="D1288" s="11" t="str">
        <f t="shared" si="29"/>
        <v>UN</v>
      </c>
      <c r="E1288" s="12">
        <v>9.2812500000000018</v>
      </c>
      <c r="F1288" s="13">
        <v>0</v>
      </c>
      <c r="G1288" s="14" t="s">
        <v>198</v>
      </c>
    </row>
    <row r="1289" spans="1:7" x14ac:dyDescent="0.25">
      <c r="A1289" s="34" t="str">
        <f>"PIEZA 4100 SERIE D Nº 12"</f>
        <v>PIEZA 4100 SERIE D Nº 12</v>
      </c>
      <c r="B1289" s="2">
        <v>21</v>
      </c>
      <c r="C1289" s="2">
        <v>23</v>
      </c>
      <c r="D1289" s="11" t="str">
        <f t="shared" si="29"/>
        <v>UN</v>
      </c>
      <c r="E1289" s="12">
        <v>153.69750000000002</v>
      </c>
      <c r="F1289" s="13">
        <v>0</v>
      </c>
      <c r="G1289" s="14" t="s">
        <v>198</v>
      </c>
    </row>
    <row r="1290" spans="1:7" x14ac:dyDescent="0.25">
      <c r="A1290" s="34" t="str">
        <f>"PIEZA 4100 SERIE D Nº 25"</f>
        <v>PIEZA 4100 SERIE D Nº 25</v>
      </c>
      <c r="B1290" s="2">
        <v>21</v>
      </c>
      <c r="C1290" s="2">
        <v>3</v>
      </c>
      <c r="D1290" s="11" t="str">
        <f t="shared" ref="D1290:D1353" si="30">"UN"</f>
        <v>UN</v>
      </c>
      <c r="E1290" s="12">
        <v>38.981250000000003</v>
      </c>
      <c r="F1290" s="13">
        <v>0</v>
      </c>
      <c r="G1290" s="14" t="s">
        <v>198</v>
      </c>
    </row>
    <row r="1291" spans="1:7" x14ac:dyDescent="0.25">
      <c r="A1291" s="34" t="str">
        <f>"PIEZA 4100 SERIE D Nº 27"</f>
        <v>PIEZA 4100 SERIE D Nº 27</v>
      </c>
      <c r="B1291" s="2">
        <v>21</v>
      </c>
      <c r="C1291" s="2">
        <v>2</v>
      </c>
      <c r="D1291" s="11" t="str">
        <f t="shared" si="30"/>
        <v>UN</v>
      </c>
      <c r="E1291" s="12">
        <v>14.574999999999999</v>
      </c>
      <c r="F1291" s="13">
        <v>0</v>
      </c>
      <c r="G1291" s="14" t="s">
        <v>198</v>
      </c>
    </row>
    <row r="1292" spans="1:7" x14ac:dyDescent="0.25">
      <c r="A1292" s="34" t="str">
        <f>"PIEZA 4100 SERIE D Nº 28"</f>
        <v>PIEZA 4100 SERIE D Nº 28</v>
      </c>
      <c r="B1292" s="2">
        <v>21</v>
      </c>
      <c r="C1292" s="2">
        <v>5</v>
      </c>
      <c r="D1292" s="11" t="str">
        <f t="shared" si="30"/>
        <v>UN</v>
      </c>
      <c r="E1292" s="12">
        <v>157.09375000000003</v>
      </c>
      <c r="F1292" s="13">
        <v>0</v>
      </c>
      <c r="G1292" s="14" t="s">
        <v>198</v>
      </c>
    </row>
    <row r="1293" spans="1:7" x14ac:dyDescent="0.25">
      <c r="A1293" s="34" t="str">
        <f>"PIEZA 4100 SERIE D Nº 30"</f>
        <v>PIEZA 4100 SERIE D Nº 30</v>
      </c>
      <c r="B1293" s="2">
        <v>21</v>
      </c>
      <c r="C1293" s="2">
        <v>2</v>
      </c>
      <c r="D1293" s="11" t="str">
        <f t="shared" si="30"/>
        <v>UN</v>
      </c>
      <c r="E1293" s="12">
        <v>48.95</v>
      </c>
      <c r="F1293" s="13">
        <v>0</v>
      </c>
      <c r="G1293" s="14" t="s">
        <v>198</v>
      </c>
    </row>
    <row r="1294" spans="1:7" x14ac:dyDescent="0.25">
      <c r="A1294" s="34" t="str">
        <f>"PIEZA 4100 SERIE D Nº 33"</f>
        <v>PIEZA 4100 SERIE D Nº 33</v>
      </c>
      <c r="B1294" s="2">
        <v>21</v>
      </c>
      <c r="C1294" s="2">
        <v>10</v>
      </c>
      <c r="D1294" s="11" t="str">
        <f t="shared" si="30"/>
        <v>UN</v>
      </c>
      <c r="E1294" s="12">
        <v>50.875000000000007</v>
      </c>
      <c r="F1294" s="13">
        <v>0</v>
      </c>
      <c r="G1294" s="14" t="s">
        <v>198</v>
      </c>
    </row>
    <row r="1295" spans="1:7" x14ac:dyDescent="0.25">
      <c r="A1295" s="34" t="str">
        <f>"PIEZA 4100 SERIE D Nº 36"</f>
        <v>PIEZA 4100 SERIE D Nº 36</v>
      </c>
      <c r="B1295" s="2">
        <v>21</v>
      </c>
      <c r="C1295" s="2">
        <v>3</v>
      </c>
      <c r="D1295" s="11" t="str">
        <f t="shared" si="30"/>
        <v>UN</v>
      </c>
      <c r="E1295" s="12">
        <v>30.525000000000006</v>
      </c>
      <c r="F1295" s="13">
        <v>0</v>
      </c>
      <c r="G1295" s="14" t="s">
        <v>198</v>
      </c>
    </row>
    <row r="1296" spans="1:7" x14ac:dyDescent="0.25">
      <c r="A1296" s="34" t="str">
        <f>"PIEZA 4100 SERIE D Nº 38"</f>
        <v>PIEZA 4100 SERIE D Nº 38</v>
      </c>
      <c r="B1296" s="2">
        <v>21</v>
      </c>
      <c r="C1296" s="2">
        <v>10</v>
      </c>
      <c r="D1296" s="11" t="str">
        <f t="shared" si="30"/>
        <v>UN</v>
      </c>
      <c r="E1296" s="12">
        <v>6.8750000000000018</v>
      </c>
      <c r="F1296" s="13">
        <v>0</v>
      </c>
      <c r="G1296" s="14" t="s">
        <v>198</v>
      </c>
    </row>
    <row r="1297" spans="1:7" x14ac:dyDescent="0.25">
      <c r="A1297" s="34" t="str">
        <f>"PIEZA 4100 SERIE D Nº 39"</f>
        <v>PIEZA 4100 SERIE D Nº 39</v>
      </c>
      <c r="B1297" s="2">
        <v>21</v>
      </c>
      <c r="C1297" s="2">
        <v>3</v>
      </c>
      <c r="D1297" s="11" t="str">
        <f t="shared" si="30"/>
        <v>UN</v>
      </c>
      <c r="E1297" s="12">
        <v>30.525000000000002</v>
      </c>
      <c r="F1297" s="13">
        <v>0</v>
      </c>
      <c r="G1297" s="14" t="s">
        <v>198</v>
      </c>
    </row>
    <row r="1298" spans="1:7" x14ac:dyDescent="0.25">
      <c r="A1298" s="34" t="str">
        <f>"PIEZA 4100 SERIE D Nº 40"</f>
        <v>PIEZA 4100 SERIE D Nº 40</v>
      </c>
      <c r="B1298" s="2">
        <v>21</v>
      </c>
      <c r="C1298" s="2">
        <v>4</v>
      </c>
      <c r="D1298" s="11" t="str">
        <f t="shared" si="30"/>
        <v>UN</v>
      </c>
      <c r="E1298" s="12">
        <v>2.4749999999999996</v>
      </c>
      <c r="F1298" s="13">
        <v>0</v>
      </c>
      <c r="G1298" s="14" t="s">
        <v>198</v>
      </c>
    </row>
    <row r="1299" spans="1:7" x14ac:dyDescent="0.25">
      <c r="A1299" s="34" t="str">
        <f>"PIEZA 4100 SERIE D Nº 43"</f>
        <v>PIEZA 4100 SERIE D Nº 43</v>
      </c>
      <c r="B1299" s="2">
        <v>21</v>
      </c>
      <c r="C1299" s="2">
        <v>5</v>
      </c>
      <c r="D1299" s="11" t="str">
        <f t="shared" si="30"/>
        <v>UN</v>
      </c>
      <c r="E1299" s="12">
        <v>3.0937500000000009</v>
      </c>
      <c r="F1299" s="13">
        <v>0</v>
      </c>
      <c r="G1299" s="14" t="s">
        <v>198</v>
      </c>
    </row>
    <row r="1300" spans="1:7" x14ac:dyDescent="0.25">
      <c r="A1300" s="34" t="str">
        <f>"PIEZA 4200 SERIE A Nº 34"</f>
        <v>PIEZA 4200 SERIE A Nº 34</v>
      </c>
      <c r="B1300" s="2">
        <v>21</v>
      </c>
      <c r="C1300" s="2">
        <v>2</v>
      </c>
      <c r="D1300" s="11" t="str">
        <f t="shared" si="30"/>
        <v>UN</v>
      </c>
      <c r="E1300" s="12">
        <v>4.7025000000000006</v>
      </c>
      <c r="F1300" s="13">
        <v>0</v>
      </c>
      <c r="G1300" s="14" t="s">
        <v>198</v>
      </c>
    </row>
    <row r="1301" spans="1:7" x14ac:dyDescent="0.25">
      <c r="A1301" s="34" t="str">
        <f>"PIEZA 4500 SERIE A Nº 16"</f>
        <v>PIEZA 4500 SERIE A Nº 16</v>
      </c>
      <c r="B1301" s="2">
        <v>21</v>
      </c>
      <c r="C1301" s="2">
        <v>9</v>
      </c>
      <c r="D1301" s="11" t="str">
        <f t="shared" si="30"/>
        <v>UN</v>
      </c>
      <c r="E1301" s="12">
        <v>103.95000000000003</v>
      </c>
      <c r="F1301" s="13">
        <v>0</v>
      </c>
      <c r="G1301" s="14" t="s">
        <v>198</v>
      </c>
    </row>
    <row r="1302" spans="1:7" x14ac:dyDescent="0.25">
      <c r="A1302" s="34" t="str">
        <f>"PIEZA 4500 SERIE A Nº 17"</f>
        <v>PIEZA 4500 SERIE A Nº 17</v>
      </c>
      <c r="B1302" s="2">
        <v>21</v>
      </c>
      <c r="C1302" s="2">
        <v>2</v>
      </c>
      <c r="D1302" s="11" t="str">
        <f t="shared" si="30"/>
        <v>UN</v>
      </c>
      <c r="E1302" s="12">
        <v>117.28750000000001</v>
      </c>
      <c r="F1302" s="13">
        <v>0</v>
      </c>
      <c r="G1302" s="14" t="s">
        <v>198</v>
      </c>
    </row>
    <row r="1303" spans="1:7" x14ac:dyDescent="0.25">
      <c r="A1303" s="34" t="str">
        <f>"PIEZA 4500 SERIE A Nº 40"</f>
        <v>PIEZA 4500 SERIE A Nº 40</v>
      </c>
      <c r="B1303" s="2">
        <v>21</v>
      </c>
      <c r="C1303" s="2">
        <v>5</v>
      </c>
      <c r="D1303" s="11" t="str">
        <f t="shared" si="30"/>
        <v>UN</v>
      </c>
      <c r="E1303" s="12">
        <v>122.78750000000001</v>
      </c>
      <c r="F1303" s="13">
        <v>0</v>
      </c>
      <c r="G1303" s="14" t="s">
        <v>198</v>
      </c>
    </row>
    <row r="1304" spans="1:7" x14ac:dyDescent="0.25">
      <c r="A1304" s="34" t="str">
        <f>"PIEZA 4500 SERIE A Nº 43"</f>
        <v>PIEZA 4500 SERIE A Nº 43</v>
      </c>
      <c r="B1304" s="2">
        <v>21</v>
      </c>
      <c r="C1304" s="2">
        <v>3</v>
      </c>
      <c r="D1304" s="11" t="str">
        <f t="shared" si="30"/>
        <v>UN</v>
      </c>
      <c r="E1304" s="12">
        <v>618.13124999999991</v>
      </c>
      <c r="F1304" s="13">
        <v>0</v>
      </c>
      <c r="G1304" s="14" t="s">
        <v>198</v>
      </c>
    </row>
    <row r="1305" spans="1:7" x14ac:dyDescent="0.25">
      <c r="A1305" s="34" t="str">
        <f>"PIEZA 4500 SERIE A Nº 44"</f>
        <v>PIEZA 4500 SERIE A Nº 44</v>
      </c>
      <c r="B1305" s="2">
        <v>21</v>
      </c>
      <c r="C1305" s="2">
        <v>5</v>
      </c>
      <c r="D1305" s="11" t="str">
        <f t="shared" si="30"/>
        <v>UN</v>
      </c>
      <c r="E1305" s="12">
        <v>12.787500000000001</v>
      </c>
      <c r="F1305" s="13">
        <v>0</v>
      </c>
      <c r="G1305" s="14" t="s">
        <v>198</v>
      </c>
    </row>
    <row r="1306" spans="1:7" x14ac:dyDescent="0.25">
      <c r="A1306" s="34" t="str">
        <f>"PIEZA 4500 SERIE B&amp;C Nº 01"</f>
        <v>PIEZA 4500 SERIE B&amp;C Nº 01</v>
      </c>
      <c r="B1306" s="2">
        <v>21</v>
      </c>
      <c r="C1306" s="2">
        <v>20</v>
      </c>
      <c r="D1306" s="11" t="str">
        <f t="shared" si="30"/>
        <v>UN</v>
      </c>
      <c r="E1306" s="12">
        <v>39.324999999999996</v>
      </c>
      <c r="F1306" s="13">
        <v>0</v>
      </c>
      <c r="G1306" s="14" t="s">
        <v>198</v>
      </c>
    </row>
    <row r="1307" spans="1:7" x14ac:dyDescent="0.25">
      <c r="A1307" s="34" t="str">
        <f>"PIEZA 4500 SERIE B&amp;C Nº 06"</f>
        <v>PIEZA 4500 SERIE B&amp;C Nº 06</v>
      </c>
      <c r="B1307" s="2">
        <v>21</v>
      </c>
      <c r="C1307" s="2">
        <v>10</v>
      </c>
      <c r="D1307" s="11" t="str">
        <f t="shared" si="30"/>
        <v>UN</v>
      </c>
      <c r="E1307" s="12">
        <v>182.875</v>
      </c>
      <c r="F1307" s="13">
        <v>0</v>
      </c>
      <c r="G1307" s="14" t="s">
        <v>198</v>
      </c>
    </row>
    <row r="1308" spans="1:7" x14ac:dyDescent="0.25">
      <c r="A1308" s="34" t="str">
        <f>"PIEZA 4500 SERIE B&amp;C Nº 09"</f>
        <v>PIEZA 4500 SERIE B&amp;C Nº 09</v>
      </c>
      <c r="B1308" s="2">
        <v>21</v>
      </c>
      <c r="C1308" s="2">
        <v>20</v>
      </c>
      <c r="D1308" s="11" t="str">
        <f t="shared" si="30"/>
        <v>UN</v>
      </c>
      <c r="E1308" s="12">
        <v>229.62500000000003</v>
      </c>
      <c r="F1308" s="13">
        <v>0</v>
      </c>
      <c r="G1308" s="14" t="s">
        <v>198</v>
      </c>
    </row>
    <row r="1309" spans="1:7" x14ac:dyDescent="0.25">
      <c r="A1309" s="34" t="str">
        <f>"PIEZA 4500 SERIE B&amp;C Nº 10"</f>
        <v>PIEZA 4500 SERIE B&amp;C Nº 10</v>
      </c>
      <c r="B1309" s="2">
        <v>21</v>
      </c>
      <c r="C1309" s="2">
        <v>13</v>
      </c>
      <c r="D1309" s="11" t="str">
        <f t="shared" si="30"/>
        <v>UN</v>
      </c>
      <c r="E1309" s="12">
        <v>89.375000000000014</v>
      </c>
      <c r="F1309" s="13">
        <v>0</v>
      </c>
      <c r="G1309" s="14" t="s">
        <v>198</v>
      </c>
    </row>
    <row r="1310" spans="1:7" x14ac:dyDescent="0.25">
      <c r="A1310" s="34" t="str">
        <f>"PIEZA 4500 SERIE B&amp;C Nº 14"</f>
        <v>PIEZA 4500 SERIE B&amp;C Nº 14</v>
      </c>
      <c r="B1310" s="2">
        <v>21</v>
      </c>
      <c r="C1310" s="2">
        <v>5</v>
      </c>
      <c r="D1310" s="11" t="str">
        <f t="shared" si="30"/>
        <v>UN</v>
      </c>
      <c r="E1310" s="12">
        <v>7.2875000000000014</v>
      </c>
      <c r="F1310" s="13">
        <v>0</v>
      </c>
      <c r="G1310" s="14" t="s">
        <v>198</v>
      </c>
    </row>
    <row r="1311" spans="1:7" x14ac:dyDescent="0.25">
      <c r="A1311" s="34" t="str">
        <f>"PIEZA 4500 SERIE C Nº 03"</f>
        <v>PIEZA 4500 SERIE C Nº 03</v>
      </c>
      <c r="B1311" s="2">
        <v>21</v>
      </c>
      <c r="C1311" s="2">
        <v>2</v>
      </c>
      <c r="D1311" s="11" t="str">
        <f t="shared" si="30"/>
        <v>UN</v>
      </c>
      <c r="E1311" s="12">
        <v>143.68750000000003</v>
      </c>
      <c r="F1311" s="13">
        <v>0</v>
      </c>
      <c r="G1311" s="14" t="s">
        <v>198</v>
      </c>
    </row>
    <row r="1312" spans="1:7" x14ac:dyDescent="0.25">
      <c r="A1312" s="34" t="str">
        <f>"PIEZA 4500 SERIE C Nº 04"</f>
        <v>PIEZA 4500 SERIE C Nº 04</v>
      </c>
      <c r="B1312" s="2">
        <v>21</v>
      </c>
      <c r="C1312" s="2">
        <v>6</v>
      </c>
      <c r="D1312" s="11" t="str">
        <f t="shared" si="30"/>
        <v>UN</v>
      </c>
      <c r="E1312" s="12">
        <v>13.612499999999997</v>
      </c>
      <c r="F1312" s="13">
        <v>0</v>
      </c>
      <c r="G1312" s="14" t="s">
        <v>198</v>
      </c>
    </row>
    <row r="1313" spans="1:7" x14ac:dyDescent="0.25">
      <c r="A1313" s="34" t="str">
        <f>"PIEZA 4500 SERIE C Nº 05"</f>
        <v>PIEZA 4500 SERIE C Nº 05</v>
      </c>
      <c r="B1313" s="2">
        <v>21</v>
      </c>
      <c r="C1313" s="2">
        <v>5</v>
      </c>
      <c r="D1313" s="11" t="str">
        <f t="shared" si="30"/>
        <v>UN</v>
      </c>
      <c r="E1313" s="12">
        <v>80.093750000000014</v>
      </c>
      <c r="F1313" s="13">
        <v>0</v>
      </c>
      <c r="G1313" s="14" t="s">
        <v>198</v>
      </c>
    </row>
    <row r="1314" spans="1:7" x14ac:dyDescent="0.25">
      <c r="A1314" s="34" t="str">
        <f>"PIEZA 4500 SERIE C Nº 07"</f>
        <v>PIEZA 4500 SERIE C Nº 07</v>
      </c>
      <c r="B1314" s="2">
        <v>21</v>
      </c>
      <c r="C1314" s="2">
        <v>15</v>
      </c>
      <c r="D1314" s="11" t="str">
        <f t="shared" si="30"/>
        <v>UN</v>
      </c>
      <c r="E1314" s="12">
        <v>95.906249999999986</v>
      </c>
      <c r="F1314" s="13">
        <v>0</v>
      </c>
      <c r="G1314" s="14" t="s">
        <v>198</v>
      </c>
    </row>
    <row r="1315" spans="1:7" x14ac:dyDescent="0.25">
      <c r="A1315" s="34" t="str">
        <f>"PIEZA 4500 SERIE C Nº 08"</f>
        <v>PIEZA 4500 SERIE C Nº 08</v>
      </c>
      <c r="B1315" s="2">
        <v>21</v>
      </c>
      <c r="C1315" s="2">
        <v>3</v>
      </c>
      <c r="D1315" s="11" t="str">
        <f t="shared" si="30"/>
        <v>UN</v>
      </c>
      <c r="E1315" s="12">
        <v>34.278750000000002</v>
      </c>
      <c r="F1315" s="13">
        <v>0</v>
      </c>
      <c r="G1315" s="14" t="s">
        <v>198</v>
      </c>
    </row>
    <row r="1316" spans="1:7" x14ac:dyDescent="0.25">
      <c r="A1316" s="34" t="str">
        <f>"PIEZA 4500 SERIE C Nº 11c"</f>
        <v>PIEZA 4500 SERIE C Nº 11c</v>
      </c>
      <c r="B1316" s="2">
        <v>21</v>
      </c>
      <c r="C1316" s="2">
        <v>6</v>
      </c>
      <c r="D1316" s="11" t="str">
        <f t="shared" si="30"/>
        <v>UN</v>
      </c>
      <c r="E1316" s="12">
        <v>33</v>
      </c>
      <c r="F1316" s="13">
        <v>0</v>
      </c>
      <c r="G1316" s="14" t="s">
        <v>198</v>
      </c>
    </row>
    <row r="1317" spans="1:7" x14ac:dyDescent="0.25">
      <c r="A1317" s="34" t="str">
        <f>"PIEZA 4500 SERIE C Nº 12c"</f>
        <v>PIEZA 4500 SERIE C Nº 12c</v>
      </c>
      <c r="B1317" s="2">
        <v>21</v>
      </c>
      <c r="C1317" s="2">
        <v>9</v>
      </c>
      <c r="D1317" s="11" t="str">
        <f t="shared" si="30"/>
        <v>UN</v>
      </c>
      <c r="E1317" s="12">
        <v>350.21250000000003</v>
      </c>
      <c r="F1317" s="13">
        <v>0</v>
      </c>
      <c r="G1317" s="14" t="s">
        <v>198</v>
      </c>
    </row>
    <row r="1318" spans="1:7" x14ac:dyDescent="0.25">
      <c r="A1318" s="34" t="str">
        <f>"PIEZA 4500 SERIE C Nº 13"</f>
        <v>PIEZA 4500 SERIE C Nº 13</v>
      </c>
      <c r="B1318" s="2">
        <v>21</v>
      </c>
      <c r="C1318" s="2">
        <v>10</v>
      </c>
      <c r="D1318" s="11" t="str">
        <f t="shared" si="30"/>
        <v>UN</v>
      </c>
      <c r="E1318" s="12">
        <v>19.25</v>
      </c>
      <c r="F1318" s="13">
        <v>0</v>
      </c>
      <c r="G1318" s="14" t="s">
        <v>198</v>
      </c>
    </row>
    <row r="1319" spans="1:7" x14ac:dyDescent="0.25">
      <c r="A1319" s="34" t="str">
        <f>"PIEZA 4500 SERIE C Nº 15"</f>
        <v>PIEZA 4500 SERIE C Nº 15</v>
      </c>
      <c r="B1319" s="2">
        <v>21</v>
      </c>
      <c r="C1319" s="2">
        <v>2</v>
      </c>
      <c r="D1319" s="11" t="str">
        <f t="shared" si="30"/>
        <v>UN</v>
      </c>
      <c r="E1319" s="12">
        <v>27.5</v>
      </c>
      <c r="F1319" s="13">
        <v>0</v>
      </c>
      <c r="G1319" s="14" t="s">
        <v>198</v>
      </c>
    </row>
    <row r="1320" spans="1:7" x14ac:dyDescent="0.25">
      <c r="A1320" s="34" t="str">
        <f>"PIEZA 4500 SERIE C Nº 21"</f>
        <v>PIEZA 4500 SERIE C Nº 21</v>
      </c>
      <c r="B1320" s="2">
        <v>21</v>
      </c>
      <c r="C1320" s="2">
        <v>10</v>
      </c>
      <c r="D1320" s="11" t="str">
        <f t="shared" si="30"/>
        <v>UN</v>
      </c>
      <c r="E1320" s="12">
        <v>9.625</v>
      </c>
      <c r="F1320" s="13">
        <v>0</v>
      </c>
      <c r="G1320" s="14" t="s">
        <v>198</v>
      </c>
    </row>
    <row r="1321" spans="1:7" x14ac:dyDescent="0.25">
      <c r="A1321" s="34" t="str">
        <f>"PIEZA 4500 SERIE C Nº 22"</f>
        <v>PIEZA 4500 SERIE C Nº 22</v>
      </c>
      <c r="B1321" s="2">
        <v>21</v>
      </c>
      <c r="C1321" s="2">
        <v>12</v>
      </c>
      <c r="D1321" s="11" t="str">
        <f t="shared" si="30"/>
        <v>UN</v>
      </c>
      <c r="E1321" s="12">
        <v>38.445000000000007</v>
      </c>
      <c r="F1321" s="13">
        <v>0</v>
      </c>
      <c r="G1321" s="14" t="s">
        <v>198</v>
      </c>
    </row>
    <row r="1322" spans="1:7" x14ac:dyDescent="0.25">
      <c r="A1322" s="34" t="str">
        <f>"PIEZA 4500 SERIE C Nº 23"</f>
        <v>PIEZA 4500 SERIE C Nº 23</v>
      </c>
      <c r="B1322" s="2">
        <v>21</v>
      </c>
      <c r="C1322" s="2">
        <v>20</v>
      </c>
      <c r="D1322" s="11" t="str">
        <f t="shared" si="30"/>
        <v>UN</v>
      </c>
      <c r="E1322" s="12">
        <v>24.75</v>
      </c>
      <c r="F1322" s="13">
        <v>0</v>
      </c>
      <c r="G1322" s="14" t="s">
        <v>198</v>
      </c>
    </row>
    <row r="1323" spans="1:7" x14ac:dyDescent="0.25">
      <c r="A1323" s="34" t="str">
        <f>"PIEZA 4500 SERIE C Nº 24"</f>
        <v>PIEZA 4500 SERIE C Nº 24</v>
      </c>
      <c r="B1323" s="2">
        <v>21</v>
      </c>
      <c r="C1323" s="2">
        <v>18</v>
      </c>
      <c r="D1323" s="11" t="str">
        <f t="shared" si="30"/>
        <v>UN</v>
      </c>
      <c r="E1323" s="12">
        <v>126.22499999999999</v>
      </c>
      <c r="F1323" s="13">
        <v>0</v>
      </c>
      <c r="G1323" s="14" t="s">
        <v>198</v>
      </c>
    </row>
    <row r="1324" spans="1:7" x14ac:dyDescent="0.25">
      <c r="A1324" s="34" t="str">
        <f>"PIEZA 4500 SERIE C Nº 25"</f>
        <v>PIEZA 4500 SERIE C Nº 25</v>
      </c>
      <c r="B1324" s="2">
        <v>21</v>
      </c>
      <c r="C1324" s="2">
        <v>16</v>
      </c>
      <c r="D1324" s="11" t="str">
        <f t="shared" si="30"/>
        <v>UN</v>
      </c>
      <c r="E1324" s="12">
        <v>19.8</v>
      </c>
      <c r="F1324" s="13">
        <v>0</v>
      </c>
      <c r="G1324" s="14" t="s">
        <v>198</v>
      </c>
    </row>
    <row r="1325" spans="1:7" x14ac:dyDescent="0.25">
      <c r="A1325" s="34" t="str">
        <f>"PIEZA 4500 SERIE C Nº 26"</f>
        <v>PIEZA 4500 SERIE C Nº 26</v>
      </c>
      <c r="B1325" s="2">
        <v>21</v>
      </c>
      <c r="C1325" s="2">
        <v>4</v>
      </c>
      <c r="D1325" s="11" t="str">
        <f t="shared" si="30"/>
        <v>UN</v>
      </c>
      <c r="E1325" s="12">
        <v>29.425000000000001</v>
      </c>
      <c r="F1325" s="13">
        <v>0</v>
      </c>
      <c r="G1325" s="14" t="s">
        <v>198</v>
      </c>
    </row>
    <row r="1326" spans="1:7" x14ac:dyDescent="0.25">
      <c r="A1326" s="34" t="str">
        <f>"PIEZA 4500 SERIE C Nº 27"</f>
        <v>PIEZA 4500 SERIE C Nº 27</v>
      </c>
      <c r="B1326" s="2">
        <v>21</v>
      </c>
      <c r="C1326" s="2">
        <v>9</v>
      </c>
      <c r="D1326" s="11" t="str">
        <f t="shared" si="30"/>
        <v>UN</v>
      </c>
      <c r="E1326" s="12">
        <v>11.137500000000001</v>
      </c>
      <c r="F1326" s="13">
        <v>0</v>
      </c>
      <c r="G1326" s="14" t="s">
        <v>198</v>
      </c>
    </row>
    <row r="1327" spans="1:7" x14ac:dyDescent="0.25">
      <c r="A1327" s="34" t="str">
        <f>"PIEZA 4500 SERIE C Nº 28"</f>
        <v>PIEZA 4500 SERIE C Nº 28</v>
      </c>
      <c r="B1327" s="2">
        <v>21</v>
      </c>
      <c r="C1327" s="2">
        <v>10</v>
      </c>
      <c r="D1327" s="11" t="str">
        <f t="shared" si="30"/>
        <v>UN</v>
      </c>
      <c r="E1327" s="12">
        <v>12.375</v>
      </c>
      <c r="F1327" s="13">
        <v>0</v>
      </c>
      <c r="G1327" s="14" t="s">
        <v>198</v>
      </c>
    </row>
    <row r="1328" spans="1:7" x14ac:dyDescent="0.25">
      <c r="A1328" s="34" t="str">
        <f>"PIEZA 4500 SERIE C Nº 30"</f>
        <v>PIEZA 4500 SERIE C Nº 30</v>
      </c>
      <c r="B1328" s="2">
        <v>21</v>
      </c>
      <c r="C1328" s="2">
        <v>10</v>
      </c>
      <c r="D1328" s="11" t="str">
        <f t="shared" si="30"/>
        <v>UN</v>
      </c>
      <c r="E1328" s="12">
        <v>9.625</v>
      </c>
      <c r="F1328" s="13">
        <v>0</v>
      </c>
      <c r="G1328" s="14" t="s">
        <v>198</v>
      </c>
    </row>
    <row r="1329" spans="1:7" x14ac:dyDescent="0.25">
      <c r="A1329" s="34" t="str">
        <f>"PIEZA 4500 SERIE C Nº 31"</f>
        <v>PIEZA 4500 SERIE C Nº 31</v>
      </c>
      <c r="B1329" s="2">
        <v>21</v>
      </c>
      <c r="C1329" s="2">
        <v>3</v>
      </c>
      <c r="D1329" s="11" t="str">
        <f t="shared" si="30"/>
        <v>UN</v>
      </c>
      <c r="E1329" s="12">
        <v>26.193750000000001</v>
      </c>
      <c r="F1329" s="13">
        <v>0</v>
      </c>
      <c r="G1329" s="14" t="s">
        <v>198</v>
      </c>
    </row>
    <row r="1330" spans="1:7" x14ac:dyDescent="0.25">
      <c r="A1330" s="34" t="str">
        <f>"PIEZA 4500 SERIE C Nº 32"</f>
        <v>PIEZA 4500 SERIE C Nº 32</v>
      </c>
      <c r="B1330" s="2">
        <v>21</v>
      </c>
      <c r="C1330" s="2">
        <v>5</v>
      </c>
      <c r="D1330" s="11" t="str">
        <f t="shared" si="30"/>
        <v>UN</v>
      </c>
      <c r="E1330" s="12">
        <v>5.15625</v>
      </c>
      <c r="F1330" s="13">
        <v>0</v>
      </c>
      <c r="G1330" s="14" t="s">
        <v>198</v>
      </c>
    </row>
    <row r="1331" spans="1:7" x14ac:dyDescent="0.25">
      <c r="A1331" s="34" t="str">
        <f>"PIEZA 4600 SERIE B Nº 39"</f>
        <v>PIEZA 4600 SERIE B Nº 39</v>
      </c>
      <c r="B1331" s="2">
        <v>21</v>
      </c>
      <c r="C1331" s="2">
        <v>3</v>
      </c>
      <c r="D1331" s="11" t="str">
        <f t="shared" si="30"/>
        <v>UN</v>
      </c>
      <c r="E1331" s="12">
        <v>10.60125</v>
      </c>
      <c r="F1331" s="13">
        <v>0</v>
      </c>
      <c r="G1331" s="14" t="s">
        <v>198</v>
      </c>
    </row>
    <row r="1332" spans="1:7" x14ac:dyDescent="0.25">
      <c r="A1332" s="34" t="str">
        <f>"PIEZA 4600 SERIE B Nº 40"</f>
        <v>PIEZA 4600 SERIE B Nº 40</v>
      </c>
      <c r="B1332" s="2">
        <v>21</v>
      </c>
      <c r="C1332" s="2">
        <v>1</v>
      </c>
      <c r="D1332" s="11" t="str">
        <f t="shared" si="30"/>
        <v>UN</v>
      </c>
      <c r="E1332" s="12">
        <v>0.97625000000000006</v>
      </c>
      <c r="F1332" s="13">
        <v>0</v>
      </c>
      <c r="G1332" s="14" t="s">
        <v>198</v>
      </c>
    </row>
    <row r="1333" spans="1:7" x14ac:dyDescent="0.25">
      <c r="A1333" s="34" t="str">
        <f>"PIEZA 4600 SERIE C Nº 19"</f>
        <v>PIEZA 4600 SERIE C Nº 19</v>
      </c>
      <c r="B1333" s="2">
        <v>21</v>
      </c>
      <c r="C1333" s="2">
        <v>6</v>
      </c>
      <c r="D1333" s="11" t="str">
        <f t="shared" si="30"/>
        <v>UN</v>
      </c>
      <c r="E1333" s="12">
        <v>11.9625</v>
      </c>
      <c r="F1333" s="13">
        <v>0</v>
      </c>
      <c r="G1333" s="14" t="s">
        <v>198</v>
      </c>
    </row>
    <row r="1334" spans="1:7" x14ac:dyDescent="0.25">
      <c r="A1334" s="34" t="str">
        <f>"PIEZA 4600 SERIE C Nº 32"</f>
        <v>PIEZA 4600 SERIE C Nº 32</v>
      </c>
      <c r="B1334" s="2">
        <v>21</v>
      </c>
      <c r="C1334" s="2">
        <v>10</v>
      </c>
      <c r="D1334" s="11" t="str">
        <f t="shared" si="30"/>
        <v>UN</v>
      </c>
      <c r="E1334" s="12">
        <v>11.000000000000002</v>
      </c>
      <c r="F1334" s="13">
        <v>0</v>
      </c>
      <c r="G1334" s="14" t="s">
        <v>198</v>
      </c>
    </row>
    <row r="1335" spans="1:7" x14ac:dyDescent="0.25">
      <c r="A1335" s="34" t="str">
        <f>"PIEZA 4600 SERIE F Nº 02"</f>
        <v>PIEZA 4600 SERIE F Nº 02</v>
      </c>
      <c r="B1335" s="2">
        <v>21</v>
      </c>
      <c r="C1335" s="2">
        <v>6</v>
      </c>
      <c r="D1335" s="11" t="str">
        <f t="shared" si="30"/>
        <v>UN</v>
      </c>
      <c r="E1335" s="12">
        <v>6.1875</v>
      </c>
      <c r="F1335" s="13">
        <v>0</v>
      </c>
      <c r="G1335" s="14" t="s">
        <v>198</v>
      </c>
    </row>
    <row r="1336" spans="1:7" x14ac:dyDescent="0.25">
      <c r="A1336" s="34" t="str">
        <f>"PIEZA 4600 SERIE F Nº 04"</f>
        <v>PIEZA 4600 SERIE F Nº 04</v>
      </c>
      <c r="B1336" s="2">
        <v>21</v>
      </c>
      <c r="C1336" s="2">
        <v>3</v>
      </c>
      <c r="D1336" s="11" t="str">
        <f t="shared" si="30"/>
        <v>UN</v>
      </c>
      <c r="E1336" s="12">
        <v>42.487500000000004</v>
      </c>
      <c r="F1336" s="13">
        <v>0</v>
      </c>
      <c r="G1336" s="14" t="s">
        <v>198</v>
      </c>
    </row>
    <row r="1337" spans="1:7" x14ac:dyDescent="0.25">
      <c r="A1337" s="34" t="str">
        <f>"PIEZA 4600 SERIE F Nº 05"</f>
        <v>PIEZA 4600 SERIE F Nº 05</v>
      </c>
      <c r="B1337" s="2">
        <v>21</v>
      </c>
      <c r="C1337" s="2">
        <v>2</v>
      </c>
      <c r="D1337" s="11" t="str">
        <f t="shared" si="30"/>
        <v>UN</v>
      </c>
      <c r="E1337" s="12">
        <v>43.862500000000004</v>
      </c>
      <c r="F1337" s="13">
        <v>0</v>
      </c>
      <c r="G1337" s="14" t="s">
        <v>198</v>
      </c>
    </row>
    <row r="1338" spans="1:7" x14ac:dyDescent="0.25">
      <c r="A1338" s="34" t="str">
        <f>"PIEZA 4600 SERIE F Nº 06"</f>
        <v>PIEZA 4600 SERIE F Nº 06</v>
      </c>
      <c r="B1338" s="2">
        <v>21</v>
      </c>
      <c r="C1338" s="2">
        <v>3</v>
      </c>
      <c r="D1338" s="11" t="str">
        <f t="shared" si="30"/>
        <v>UN</v>
      </c>
      <c r="E1338" s="12">
        <v>76.106250000000017</v>
      </c>
      <c r="F1338" s="13">
        <v>0</v>
      </c>
      <c r="G1338" s="14" t="s">
        <v>198</v>
      </c>
    </row>
    <row r="1339" spans="1:7" x14ac:dyDescent="0.25">
      <c r="A1339" s="34" t="str">
        <f>"PIEZA 4600 SERIE F Nº 07"</f>
        <v>PIEZA 4600 SERIE F Nº 07</v>
      </c>
      <c r="B1339" s="2">
        <v>21</v>
      </c>
      <c r="C1339" s="2">
        <v>4</v>
      </c>
      <c r="D1339" s="11" t="str">
        <f t="shared" si="30"/>
        <v>UN</v>
      </c>
      <c r="E1339" s="12">
        <v>26.400000000000002</v>
      </c>
      <c r="F1339" s="13">
        <v>0</v>
      </c>
      <c r="G1339" s="14" t="s">
        <v>198</v>
      </c>
    </row>
    <row r="1340" spans="1:7" x14ac:dyDescent="0.25">
      <c r="A1340" s="34" t="str">
        <f>"PIEZA 4600 SERIE F Nº 08"</f>
        <v>PIEZA 4600 SERIE F Nº 08</v>
      </c>
      <c r="B1340" s="2">
        <v>21</v>
      </c>
      <c r="C1340" s="2">
        <v>2</v>
      </c>
      <c r="D1340" s="11" t="str">
        <f t="shared" si="30"/>
        <v>UN</v>
      </c>
      <c r="E1340" s="12">
        <v>13.200000000000001</v>
      </c>
      <c r="F1340" s="13">
        <v>0</v>
      </c>
      <c r="G1340" s="14" t="s">
        <v>198</v>
      </c>
    </row>
    <row r="1341" spans="1:7" x14ac:dyDescent="0.25">
      <c r="A1341" s="34" t="str">
        <f>"PIEZA 4600 SERIE F Nº 09"</f>
        <v>PIEZA 4600 SERIE F Nº 09</v>
      </c>
      <c r="B1341" s="2">
        <v>21</v>
      </c>
      <c r="C1341" s="2">
        <v>10</v>
      </c>
      <c r="D1341" s="11" t="str">
        <f t="shared" si="30"/>
        <v>UN</v>
      </c>
      <c r="E1341" s="12">
        <v>4.8125</v>
      </c>
      <c r="F1341" s="13">
        <v>0</v>
      </c>
      <c r="G1341" s="14" t="s">
        <v>198</v>
      </c>
    </row>
    <row r="1342" spans="1:7" x14ac:dyDescent="0.25">
      <c r="A1342" s="34" t="str">
        <f>"PIEZA 4600 SERIE F Nº 10"</f>
        <v>PIEZA 4600 SERIE F Nº 10</v>
      </c>
      <c r="B1342" s="2">
        <v>21</v>
      </c>
      <c r="C1342" s="2">
        <v>5</v>
      </c>
      <c r="D1342" s="11" t="str">
        <f t="shared" si="30"/>
        <v>UN</v>
      </c>
      <c r="E1342" s="12">
        <v>171.53125000000003</v>
      </c>
      <c r="F1342" s="13">
        <v>0</v>
      </c>
      <c r="G1342" s="14" t="s">
        <v>198</v>
      </c>
    </row>
    <row r="1343" spans="1:7" x14ac:dyDescent="0.25">
      <c r="A1343" s="34" t="str">
        <f>"PIEZA 4600 SERIE F Nº 11"</f>
        <v>PIEZA 4600 SERIE F Nº 11</v>
      </c>
      <c r="B1343" s="2">
        <v>21</v>
      </c>
      <c r="C1343" s="2">
        <v>16</v>
      </c>
      <c r="D1343" s="11" t="str">
        <f t="shared" si="30"/>
        <v>UN</v>
      </c>
      <c r="E1343" s="12">
        <v>29.700000000000006</v>
      </c>
      <c r="F1343" s="13">
        <v>0</v>
      </c>
      <c r="G1343" s="14" t="s">
        <v>198</v>
      </c>
    </row>
    <row r="1344" spans="1:7" x14ac:dyDescent="0.25">
      <c r="A1344" s="34" t="str">
        <f>"PIEZA 4600 SERIE F Nº 12"</f>
        <v>PIEZA 4600 SERIE F Nº 12</v>
      </c>
      <c r="B1344" s="2">
        <v>21</v>
      </c>
      <c r="C1344" s="2">
        <v>26</v>
      </c>
      <c r="D1344" s="11" t="str">
        <f t="shared" si="30"/>
        <v>UN</v>
      </c>
      <c r="E1344" s="12">
        <v>126.91250000000002</v>
      </c>
      <c r="F1344" s="13">
        <v>0</v>
      </c>
      <c r="G1344" s="14" t="s">
        <v>198</v>
      </c>
    </row>
    <row r="1345" spans="1:7" x14ac:dyDescent="0.25">
      <c r="A1345" s="34" t="str">
        <f>"PIEZA 4600 SERIE F Nº 13"</f>
        <v>PIEZA 4600 SERIE F Nº 13</v>
      </c>
      <c r="B1345" s="2">
        <v>21</v>
      </c>
      <c r="C1345" s="2">
        <v>3</v>
      </c>
      <c r="D1345" s="11" t="str">
        <f t="shared" si="30"/>
        <v>UN</v>
      </c>
      <c r="E1345" s="12">
        <v>42.28125</v>
      </c>
      <c r="F1345" s="13">
        <v>0</v>
      </c>
      <c r="G1345" s="14" t="s">
        <v>198</v>
      </c>
    </row>
    <row r="1346" spans="1:7" x14ac:dyDescent="0.25">
      <c r="A1346" s="34" t="str">
        <f>"PIEZA 4600 SERIE F Nº 15"</f>
        <v>PIEZA 4600 SERIE F Nº 15</v>
      </c>
      <c r="B1346" s="2">
        <v>21</v>
      </c>
      <c r="C1346" s="2">
        <v>10</v>
      </c>
      <c r="D1346" s="11" t="str">
        <f t="shared" si="30"/>
        <v>UN</v>
      </c>
      <c r="E1346" s="12">
        <v>4.8125</v>
      </c>
      <c r="F1346" s="13">
        <v>0</v>
      </c>
      <c r="G1346" s="14" t="s">
        <v>198</v>
      </c>
    </row>
    <row r="1347" spans="1:7" x14ac:dyDescent="0.25">
      <c r="A1347" s="34" t="str">
        <f>"PIEZA 4600 SERIE F Nº 16"</f>
        <v>PIEZA 4600 SERIE F Nº 16</v>
      </c>
      <c r="B1347" s="2">
        <v>21</v>
      </c>
      <c r="C1347" s="2">
        <v>5</v>
      </c>
      <c r="D1347" s="11" t="str">
        <f t="shared" si="30"/>
        <v>UN</v>
      </c>
      <c r="E1347" s="12">
        <v>9.625</v>
      </c>
      <c r="F1347" s="13">
        <v>0</v>
      </c>
      <c r="G1347" s="14" t="s">
        <v>198</v>
      </c>
    </row>
    <row r="1348" spans="1:7" x14ac:dyDescent="0.25">
      <c r="A1348" s="34" t="str">
        <f>"PIEZA 4600 SERIE F Nº 17"</f>
        <v>PIEZA 4600 SERIE F Nº 17</v>
      </c>
      <c r="B1348" s="2">
        <v>21</v>
      </c>
      <c r="C1348" s="2">
        <v>4</v>
      </c>
      <c r="D1348" s="11" t="str">
        <f t="shared" si="30"/>
        <v>UN</v>
      </c>
      <c r="E1348" s="12">
        <v>103.67500000000001</v>
      </c>
      <c r="F1348" s="13">
        <v>0</v>
      </c>
      <c r="G1348" s="14" t="s">
        <v>198</v>
      </c>
    </row>
    <row r="1349" spans="1:7" x14ac:dyDescent="0.25">
      <c r="A1349" s="34" t="str">
        <f>"PIEZA 4600 SERIE F Nº 18"</f>
        <v>PIEZA 4600 SERIE F Nº 18</v>
      </c>
      <c r="B1349" s="2">
        <v>21</v>
      </c>
      <c r="C1349" s="2">
        <v>2</v>
      </c>
      <c r="D1349" s="11" t="str">
        <f t="shared" si="30"/>
        <v>UN</v>
      </c>
      <c r="E1349" s="12">
        <v>23.65</v>
      </c>
      <c r="F1349" s="13">
        <v>0</v>
      </c>
      <c r="G1349" s="14" t="s">
        <v>198</v>
      </c>
    </row>
    <row r="1350" spans="1:7" x14ac:dyDescent="0.25">
      <c r="A1350" s="34" t="str">
        <f>"PIEZA 4600 SERIE F Nº 19"</f>
        <v>PIEZA 4600 SERIE F Nº 19</v>
      </c>
      <c r="B1350" s="2">
        <v>21</v>
      </c>
      <c r="C1350" s="2">
        <v>11</v>
      </c>
      <c r="D1350" s="11" t="str">
        <f t="shared" si="30"/>
        <v>UN</v>
      </c>
      <c r="E1350" s="12">
        <v>15.881250000000005</v>
      </c>
      <c r="F1350" s="13">
        <v>0</v>
      </c>
      <c r="G1350" s="14" t="s">
        <v>198</v>
      </c>
    </row>
    <row r="1351" spans="1:7" x14ac:dyDescent="0.25">
      <c r="A1351" s="34" t="str">
        <f>"PIEZA 4600 SERIE F Nº 20"</f>
        <v>PIEZA 4600 SERIE F Nº 20</v>
      </c>
      <c r="B1351" s="2">
        <v>21</v>
      </c>
      <c r="C1351" s="2">
        <v>2</v>
      </c>
      <c r="D1351" s="11" t="str">
        <f t="shared" si="30"/>
        <v>UN</v>
      </c>
      <c r="E1351" s="12">
        <v>21.587500000000002</v>
      </c>
      <c r="F1351" s="13">
        <v>0</v>
      </c>
      <c r="G1351" s="14" t="s">
        <v>198</v>
      </c>
    </row>
    <row r="1352" spans="1:7" x14ac:dyDescent="0.25">
      <c r="A1352" s="34" t="str">
        <f>"PIEZA 4600 SERIE F Nº 21"</f>
        <v>PIEZA 4600 SERIE F Nº 21</v>
      </c>
      <c r="B1352" s="2">
        <v>21</v>
      </c>
      <c r="C1352" s="2">
        <v>3</v>
      </c>
      <c r="D1352" s="11" t="str">
        <f t="shared" si="30"/>
        <v>UN</v>
      </c>
      <c r="E1352" s="12">
        <v>42.28125</v>
      </c>
      <c r="F1352" s="13">
        <v>0</v>
      </c>
      <c r="G1352" s="14" t="s">
        <v>198</v>
      </c>
    </row>
    <row r="1353" spans="1:7" x14ac:dyDescent="0.25">
      <c r="A1353" s="34" t="str">
        <f>"PIEZA 4600 SERIE F Nº 24"</f>
        <v>PIEZA 4600 SERIE F Nº 24</v>
      </c>
      <c r="B1353" s="2">
        <v>21</v>
      </c>
      <c r="C1353" s="2">
        <v>10</v>
      </c>
      <c r="D1353" s="11" t="str">
        <f t="shared" si="30"/>
        <v>UN</v>
      </c>
      <c r="E1353" s="12">
        <v>4.8125</v>
      </c>
      <c r="F1353" s="13">
        <v>0</v>
      </c>
      <c r="G1353" s="14" t="s">
        <v>198</v>
      </c>
    </row>
    <row r="1354" spans="1:7" x14ac:dyDescent="0.25">
      <c r="A1354" s="34" t="str">
        <f>"PIEZA 4600 SERIE F Nº 25"</f>
        <v>PIEZA 4600 SERIE F Nº 25</v>
      </c>
      <c r="B1354" s="2">
        <v>21</v>
      </c>
      <c r="C1354" s="2">
        <v>1</v>
      </c>
      <c r="D1354" s="11" t="str">
        <f t="shared" ref="D1354:D1417" si="31">"UN"</f>
        <v>UN</v>
      </c>
      <c r="E1354" s="12">
        <v>7.15</v>
      </c>
      <c r="F1354" s="13">
        <v>0</v>
      </c>
      <c r="G1354" s="14" t="s">
        <v>198</v>
      </c>
    </row>
    <row r="1355" spans="1:7" x14ac:dyDescent="0.25">
      <c r="A1355" s="34" t="str">
        <f>"PIEZA 4600 SERIE F Nº 26"</f>
        <v>PIEZA 4600 SERIE F Nº 26</v>
      </c>
      <c r="B1355" s="2">
        <v>21</v>
      </c>
      <c r="C1355" s="2">
        <v>5</v>
      </c>
      <c r="D1355" s="11" t="str">
        <f t="shared" si="31"/>
        <v>UN</v>
      </c>
      <c r="E1355" s="12">
        <v>2.40625</v>
      </c>
      <c r="F1355" s="13">
        <v>0</v>
      </c>
      <c r="G1355" s="14" t="s">
        <v>198</v>
      </c>
    </row>
    <row r="1356" spans="1:7" x14ac:dyDescent="0.25">
      <c r="A1356" s="34" t="str">
        <f>"PIEZA 4600 SERIE F Nº 27"</f>
        <v>PIEZA 4600 SERIE F Nº 27</v>
      </c>
      <c r="B1356" s="2">
        <v>21</v>
      </c>
      <c r="C1356" s="2">
        <v>4</v>
      </c>
      <c r="D1356" s="11" t="str">
        <f t="shared" si="31"/>
        <v>UN</v>
      </c>
      <c r="E1356" s="12">
        <v>13.200000000000001</v>
      </c>
      <c r="F1356" s="13">
        <v>0</v>
      </c>
      <c r="G1356" s="14" t="s">
        <v>198</v>
      </c>
    </row>
    <row r="1357" spans="1:7" x14ac:dyDescent="0.25">
      <c r="A1357" s="34" t="str">
        <f>"PIEZA 4600 SERIE F Nº 28"</f>
        <v>PIEZA 4600 SERIE F Nº 28</v>
      </c>
      <c r="B1357" s="2">
        <v>21</v>
      </c>
      <c r="C1357" s="2">
        <v>5</v>
      </c>
      <c r="D1357" s="11" t="str">
        <f t="shared" si="31"/>
        <v>UN</v>
      </c>
      <c r="E1357" s="12">
        <v>2.40625</v>
      </c>
      <c r="F1357" s="13">
        <v>0</v>
      </c>
      <c r="G1357" s="14" t="s">
        <v>198</v>
      </c>
    </row>
    <row r="1358" spans="1:7" x14ac:dyDescent="0.25">
      <c r="A1358" s="34" t="str">
        <f>"PIEZA 4600 SERIE F Nº 29"</f>
        <v>PIEZA 4600 SERIE F Nº 29</v>
      </c>
      <c r="B1358" s="2">
        <v>21</v>
      </c>
      <c r="C1358" s="2">
        <v>2</v>
      </c>
      <c r="D1358" s="11" t="str">
        <f t="shared" si="31"/>
        <v>UN</v>
      </c>
      <c r="E1358" s="12">
        <v>10.725</v>
      </c>
      <c r="F1358" s="13">
        <v>0</v>
      </c>
      <c r="G1358" s="14" t="s">
        <v>198</v>
      </c>
    </row>
    <row r="1359" spans="1:7" x14ac:dyDescent="0.25">
      <c r="A1359" s="34" t="str">
        <f>"PIEZA 4600 SERIE F Nº 30"</f>
        <v>PIEZA 4600 SERIE F Nº 30</v>
      </c>
      <c r="B1359" s="2">
        <v>21</v>
      </c>
      <c r="C1359" s="2">
        <v>5</v>
      </c>
      <c r="D1359" s="11" t="str">
        <f t="shared" si="31"/>
        <v>UN</v>
      </c>
      <c r="E1359" s="12">
        <v>2.40625</v>
      </c>
      <c r="F1359" s="13">
        <v>0</v>
      </c>
      <c r="G1359" s="14" t="s">
        <v>198</v>
      </c>
    </row>
    <row r="1360" spans="1:7" x14ac:dyDescent="0.25">
      <c r="A1360" s="34" t="str">
        <f>"PIEZA 4600 SERIE F Nº 33"</f>
        <v>PIEZA 4600 SERIE F Nº 33</v>
      </c>
      <c r="B1360" s="2">
        <v>21</v>
      </c>
      <c r="C1360" s="2">
        <v>5</v>
      </c>
      <c r="D1360" s="11" t="str">
        <f t="shared" si="31"/>
        <v>UN</v>
      </c>
      <c r="E1360" s="12">
        <v>11.6875</v>
      </c>
      <c r="F1360" s="13">
        <v>0</v>
      </c>
      <c r="G1360" s="14" t="s">
        <v>198</v>
      </c>
    </row>
    <row r="1361" spans="1:7" x14ac:dyDescent="0.25">
      <c r="A1361" s="34" t="str">
        <f>"PIEZA 4600 SERIE F Nº 34"</f>
        <v>PIEZA 4600 SERIE F Nº 34</v>
      </c>
      <c r="B1361" s="2">
        <v>21</v>
      </c>
      <c r="C1361" s="2">
        <v>2</v>
      </c>
      <c r="D1361" s="11" t="str">
        <f t="shared" si="31"/>
        <v>UN</v>
      </c>
      <c r="E1361" s="12">
        <v>14.3</v>
      </c>
      <c r="F1361" s="13">
        <v>0</v>
      </c>
      <c r="G1361" s="14" t="s">
        <v>198</v>
      </c>
    </row>
    <row r="1362" spans="1:7" x14ac:dyDescent="0.25">
      <c r="A1362" s="34" t="str">
        <f>"PIEZA 4600 SERIE F Nº 35"</f>
        <v>PIEZA 4600 SERIE F Nº 35</v>
      </c>
      <c r="B1362" s="2">
        <v>21</v>
      </c>
      <c r="C1362" s="2">
        <v>3</v>
      </c>
      <c r="D1362" s="11" t="str">
        <f t="shared" si="31"/>
        <v>UN</v>
      </c>
      <c r="E1362" s="12">
        <v>13.612500000000001</v>
      </c>
      <c r="F1362" s="13">
        <v>0</v>
      </c>
      <c r="G1362" s="14" t="s">
        <v>198</v>
      </c>
    </row>
    <row r="1363" spans="1:7" x14ac:dyDescent="0.25">
      <c r="A1363" s="34" t="str">
        <f>"PIEZA 4600 SERIE F Nº 36"</f>
        <v>PIEZA 4600 SERIE F Nº 36</v>
      </c>
      <c r="B1363" s="2">
        <v>21</v>
      </c>
      <c r="C1363" s="2">
        <v>10</v>
      </c>
      <c r="D1363" s="11" t="str">
        <f t="shared" si="31"/>
        <v>UN</v>
      </c>
      <c r="E1363" s="12">
        <v>6.8750000000000009</v>
      </c>
      <c r="F1363" s="13">
        <v>0</v>
      </c>
      <c r="G1363" s="14" t="s">
        <v>198</v>
      </c>
    </row>
    <row r="1364" spans="1:7" x14ac:dyDescent="0.25">
      <c r="A1364" s="34" t="str">
        <f>"PIEZA 4600 SERIE F Nº 39"</f>
        <v>PIEZA 4600 SERIE F Nº 39</v>
      </c>
      <c r="B1364" s="2">
        <v>21</v>
      </c>
      <c r="C1364" s="2">
        <v>2</v>
      </c>
      <c r="D1364" s="11" t="str">
        <f t="shared" si="31"/>
        <v>UN</v>
      </c>
      <c r="E1364" s="12">
        <v>6.6000000000000005</v>
      </c>
      <c r="F1364" s="13">
        <v>0</v>
      </c>
      <c r="G1364" s="14" t="s">
        <v>198</v>
      </c>
    </row>
    <row r="1365" spans="1:7" x14ac:dyDescent="0.25">
      <c r="A1365" s="34" t="str">
        <f>"PIEZA 4650 SERIE B Nº 43"</f>
        <v>PIEZA 4650 SERIE B Nº 43</v>
      </c>
      <c r="B1365" s="2">
        <v>21</v>
      </c>
      <c r="C1365" s="2">
        <v>3</v>
      </c>
      <c r="D1365" s="11" t="str">
        <f t="shared" si="31"/>
        <v>UN</v>
      </c>
      <c r="E1365" s="12">
        <v>100.77375000000002</v>
      </c>
      <c r="F1365" s="13">
        <v>0</v>
      </c>
      <c r="G1365" s="14" t="s">
        <v>198</v>
      </c>
    </row>
    <row r="1366" spans="1:7" x14ac:dyDescent="0.25">
      <c r="A1366" s="34" t="str">
        <f>"PIEZA 4650 SERIE B Nº 46"</f>
        <v>PIEZA 4650 SERIE B Nº 46</v>
      </c>
      <c r="B1366" s="2">
        <v>21</v>
      </c>
      <c r="C1366" s="2">
        <v>7</v>
      </c>
      <c r="D1366" s="11" t="str">
        <f t="shared" si="31"/>
        <v>UN</v>
      </c>
      <c r="E1366" s="12">
        <v>78.347500000000011</v>
      </c>
      <c r="F1366" s="13">
        <v>0</v>
      </c>
      <c r="G1366" s="14" t="s">
        <v>198</v>
      </c>
    </row>
    <row r="1367" spans="1:7" x14ac:dyDescent="0.25">
      <c r="A1367" s="34" t="str">
        <f>"PIEZA 4650 SERIE B Nº 47"</f>
        <v>PIEZA 4650 SERIE B Nº 47</v>
      </c>
      <c r="B1367" s="2">
        <v>21</v>
      </c>
      <c r="C1367" s="2">
        <v>11</v>
      </c>
      <c r="D1367" s="11" t="str">
        <f t="shared" si="31"/>
        <v>UN</v>
      </c>
      <c r="E1367" s="12">
        <v>10.73875</v>
      </c>
      <c r="F1367" s="13">
        <v>0</v>
      </c>
      <c r="G1367" s="14" t="s">
        <v>198</v>
      </c>
    </row>
    <row r="1368" spans="1:7" x14ac:dyDescent="0.25">
      <c r="A1368" s="34" t="str">
        <f>"PIEZA 4650 SERIE B Nº 48"</f>
        <v>PIEZA 4650 SERIE B Nº 48</v>
      </c>
      <c r="B1368" s="2">
        <v>21</v>
      </c>
      <c r="C1368" s="2">
        <v>4</v>
      </c>
      <c r="D1368" s="11" t="str">
        <f t="shared" si="31"/>
        <v>UN</v>
      </c>
      <c r="E1368" s="12">
        <v>100.595</v>
      </c>
      <c r="F1368" s="13">
        <v>0</v>
      </c>
      <c r="G1368" s="14" t="s">
        <v>198</v>
      </c>
    </row>
    <row r="1369" spans="1:7" x14ac:dyDescent="0.25">
      <c r="A1369" s="34" t="str">
        <f>"PIEZA 4650 SERIE B Nº 50"</f>
        <v>PIEZA 4650 SERIE B Nº 50</v>
      </c>
      <c r="B1369" s="2">
        <v>21</v>
      </c>
      <c r="C1369" s="2">
        <v>3</v>
      </c>
      <c r="D1369" s="11" t="str">
        <f t="shared" si="31"/>
        <v>UN</v>
      </c>
      <c r="E1369" s="12">
        <v>33.577500000000001</v>
      </c>
      <c r="F1369" s="13">
        <v>0</v>
      </c>
      <c r="G1369" s="14" t="s">
        <v>198</v>
      </c>
    </row>
    <row r="1370" spans="1:7" x14ac:dyDescent="0.25">
      <c r="A1370" s="34" t="str">
        <f>"PIEZA 4650 SERIE B Nº 52"</f>
        <v>PIEZA 4650 SERIE B Nº 52</v>
      </c>
      <c r="B1370" s="2">
        <v>21</v>
      </c>
      <c r="C1370" s="2">
        <v>6</v>
      </c>
      <c r="D1370" s="11" t="str">
        <f t="shared" si="31"/>
        <v>UN</v>
      </c>
      <c r="E1370" s="12">
        <v>8.7449999999999992</v>
      </c>
      <c r="F1370" s="13">
        <v>0</v>
      </c>
      <c r="G1370" s="14" t="s">
        <v>198</v>
      </c>
    </row>
    <row r="1371" spans="1:7" x14ac:dyDescent="0.25">
      <c r="A1371" s="34" t="str">
        <f>"PIEZA 4650 SERIE B Nº 55"</f>
        <v>PIEZA 4650 SERIE B Nº 55</v>
      </c>
      <c r="B1371" s="2">
        <v>21</v>
      </c>
      <c r="C1371" s="2">
        <v>5</v>
      </c>
      <c r="D1371" s="11" t="str">
        <f t="shared" si="31"/>
        <v>UN</v>
      </c>
      <c r="E1371" s="12">
        <v>9.8312500000000007</v>
      </c>
      <c r="F1371" s="13">
        <v>0</v>
      </c>
      <c r="G1371" s="14" t="s">
        <v>198</v>
      </c>
    </row>
    <row r="1372" spans="1:7" x14ac:dyDescent="0.25">
      <c r="A1372" s="34" t="str">
        <f>"PIEZA 4650 SERIE B Nº 57"</f>
        <v>PIEZA 4650 SERIE B Nº 57</v>
      </c>
      <c r="B1372" s="2">
        <v>21</v>
      </c>
      <c r="C1372" s="2">
        <v>8</v>
      </c>
      <c r="D1372" s="11" t="str">
        <f t="shared" si="31"/>
        <v>UN</v>
      </c>
      <c r="E1372" s="12">
        <v>7.8100000000000005</v>
      </c>
      <c r="F1372" s="13">
        <v>0</v>
      </c>
      <c r="G1372" s="14" t="s">
        <v>198</v>
      </c>
    </row>
    <row r="1373" spans="1:7" x14ac:dyDescent="0.25">
      <c r="A1373" s="34" t="str">
        <f>"PIEZA 4650 SERIE C Nº 12"</f>
        <v>PIEZA 4650 SERIE C Nº 12</v>
      </c>
      <c r="B1373" s="2">
        <v>21</v>
      </c>
      <c r="C1373" s="2">
        <v>1</v>
      </c>
      <c r="D1373" s="11" t="str">
        <f t="shared" si="31"/>
        <v>UN</v>
      </c>
      <c r="E1373" s="12">
        <v>3.3412500000000005</v>
      </c>
      <c r="F1373" s="13">
        <v>0</v>
      </c>
      <c r="G1373" s="14" t="s">
        <v>198</v>
      </c>
    </row>
    <row r="1374" spans="1:7" x14ac:dyDescent="0.25">
      <c r="A1374" s="34" t="str">
        <f>"PIEZA 4700 SERIE B Nº 44"</f>
        <v>PIEZA 4700 SERIE B Nº 44</v>
      </c>
      <c r="B1374" s="2">
        <v>21</v>
      </c>
      <c r="C1374" s="2">
        <v>4</v>
      </c>
      <c r="D1374" s="11" t="str">
        <f t="shared" si="31"/>
        <v>UN</v>
      </c>
      <c r="E1374" s="12">
        <v>3.9050000000000002</v>
      </c>
      <c r="F1374" s="13">
        <v>0</v>
      </c>
      <c r="G1374" s="14" t="s">
        <v>198</v>
      </c>
    </row>
    <row r="1375" spans="1:7" x14ac:dyDescent="0.25">
      <c r="A1375" s="34" t="str">
        <f>"PIEZA 4700 SERIE C Nº 01"</f>
        <v>PIEZA 4700 SERIE C Nº 01</v>
      </c>
      <c r="B1375" s="2">
        <v>21</v>
      </c>
      <c r="C1375" s="2">
        <v>1</v>
      </c>
      <c r="D1375" s="11" t="str">
        <f t="shared" si="31"/>
        <v>UN</v>
      </c>
      <c r="E1375" s="12">
        <v>58.643750000000004</v>
      </c>
      <c r="F1375" s="13">
        <v>0</v>
      </c>
      <c r="G1375" s="14" t="s">
        <v>198</v>
      </c>
    </row>
    <row r="1376" spans="1:7" x14ac:dyDescent="0.25">
      <c r="A1376" s="34" t="str">
        <f>"PIEZA 4700 SERIE C Nº 02"</f>
        <v>PIEZA 4700 SERIE C Nº 02</v>
      </c>
      <c r="B1376" s="2">
        <v>21</v>
      </c>
      <c r="C1376" s="2">
        <v>15</v>
      </c>
      <c r="D1376" s="11" t="str">
        <f t="shared" si="31"/>
        <v>UN</v>
      </c>
      <c r="E1376" s="12">
        <v>16.5</v>
      </c>
      <c r="F1376" s="13">
        <v>0</v>
      </c>
      <c r="G1376" s="14" t="s">
        <v>198</v>
      </c>
    </row>
    <row r="1377" spans="1:7" x14ac:dyDescent="0.25">
      <c r="A1377" s="34" t="str">
        <f>"PIEZA 4700 SERIE C Nº 06"</f>
        <v>PIEZA 4700 SERIE C Nº 06</v>
      </c>
      <c r="B1377" s="2">
        <v>21</v>
      </c>
      <c r="C1377" s="2">
        <v>7</v>
      </c>
      <c r="D1377" s="11" t="str">
        <f t="shared" si="31"/>
        <v>UN</v>
      </c>
      <c r="E1377" s="12">
        <v>64.006250000000009</v>
      </c>
      <c r="F1377" s="13">
        <v>0</v>
      </c>
      <c r="G1377" s="14" t="s">
        <v>198</v>
      </c>
    </row>
    <row r="1378" spans="1:7" x14ac:dyDescent="0.25">
      <c r="A1378" s="34" t="str">
        <f>"PIEZA 4700 SERIE C Nº 07"</f>
        <v>PIEZA 4700 SERIE C Nº 07</v>
      </c>
      <c r="B1378" s="2">
        <v>21</v>
      </c>
      <c r="C1378" s="2">
        <v>16</v>
      </c>
      <c r="D1378" s="11" t="str">
        <f t="shared" si="31"/>
        <v>UN</v>
      </c>
      <c r="E1378" s="12">
        <v>17.600000000000005</v>
      </c>
      <c r="F1378" s="13">
        <v>0</v>
      </c>
      <c r="G1378" s="14" t="s">
        <v>198</v>
      </c>
    </row>
    <row r="1379" spans="1:7" x14ac:dyDescent="0.25">
      <c r="A1379" s="34" t="str">
        <f>"PIEZA 4700 SERIE C Nº 08"</f>
        <v>PIEZA 4700 SERIE C Nº 08</v>
      </c>
      <c r="B1379" s="2">
        <v>21</v>
      </c>
      <c r="C1379" s="2">
        <v>7</v>
      </c>
      <c r="D1379" s="11" t="str">
        <f t="shared" si="31"/>
        <v>UN</v>
      </c>
      <c r="E1379" s="12">
        <v>7.7000000000000011</v>
      </c>
      <c r="F1379" s="13">
        <v>0</v>
      </c>
      <c r="G1379" s="14" t="s">
        <v>198</v>
      </c>
    </row>
    <row r="1380" spans="1:7" x14ac:dyDescent="0.25">
      <c r="A1380" s="34" t="str">
        <f>"PIEZA 4700 SERIE C Nº 09"</f>
        <v>PIEZA 4700 SERIE C Nº 09</v>
      </c>
      <c r="B1380" s="2">
        <v>21</v>
      </c>
      <c r="C1380" s="2">
        <v>34</v>
      </c>
      <c r="D1380" s="11" t="str">
        <f t="shared" si="31"/>
        <v>UN</v>
      </c>
      <c r="E1380" s="12">
        <v>37.400000000000006</v>
      </c>
      <c r="F1380" s="13">
        <v>0</v>
      </c>
      <c r="G1380" s="14" t="s">
        <v>198</v>
      </c>
    </row>
    <row r="1381" spans="1:7" x14ac:dyDescent="0.25">
      <c r="A1381" s="34" t="str">
        <f>"PIEZA 4700 SERIE C Nº 10"</f>
        <v>PIEZA 4700 SERIE C Nº 10</v>
      </c>
      <c r="B1381" s="2">
        <v>21</v>
      </c>
      <c r="C1381" s="2">
        <v>3</v>
      </c>
      <c r="D1381" s="11" t="str">
        <f t="shared" si="31"/>
        <v>UN</v>
      </c>
      <c r="E1381" s="12">
        <v>24.956250000000004</v>
      </c>
      <c r="F1381" s="13">
        <v>0</v>
      </c>
      <c r="G1381" s="14" t="s">
        <v>198</v>
      </c>
    </row>
    <row r="1382" spans="1:7" x14ac:dyDescent="0.25">
      <c r="A1382" s="34" t="str">
        <f>"PIEZA 4700 SERIE C Nº 11"</f>
        <v>PIEZA 4700 SERIE C Nº 11</v>
      </c>
      <c r="B1382" s="2">
        <v>21</v>
      </c>
      <c r="C1382" s="2">
        <v>6</v>
      </c>
      <c r="D1382" s="11" t="str">
        <f t="shared" si="31"/>
        <v>UN</v>
      </c>
      <c r="E1382" s="12">
        <v>0</v>
      </c>
      <c r="F1382" s="13">
        <v>0</v>
      </c>
      <c r="G1382" s="14" t="s">
        <v>198</v>
      </c>
    </row>
    <row r="1383" spans="1:7" x14ac:dyDescent="0.25">
      <c r="A1383" s="34" t="str">
        <f>"PIEZA 4700 SERIE C Nº 13"</f>
        <v>PIEZA 4700 SERIE C Nº 13</v>
      </c>
      <c r="B1383" s="2">
        <v>21</v>
      </c>
      <c r="C1383" s="2">
        <v>3</v>
      </c>
      <c r="D1383" s="11" t="str">
        <f t="shared" si="31"/>
        <v>UN</v>
      </c>
      <c r="E1383" s="12">
        <v>78.375000000000028</v>
      </c>
      <c r="F1383" s="13">
        <v>0</v>
      </c>
      <c r="G1383" s="14" t="s">
        <v>198</v>
      </c>
    </row>
    <row r="1384" spans="1:7" x14ac:dyDescent="0.25">
      <c r="A1384" s="34" t="str">
        <f>"PIEZA 4700 SERIE C Nº 14"</f>
        <v>PIEZA 4700 SERIE C Nº 14</v>
      </c>
      <c r="B1384" s="2">
        <v>21</v>
      </c>
      <c r="C1384" s="2">
        <v>4</v>
      </c>
      <c r="D1384" s="11" t="str">
        <f t="shared" si="31"/>
        <v>UN</v>
      </c>
      <c r="E1384" s="12">
        <v>74.8</v>
      </c>
      <c r="F1384" s="13">
        <v>0</v>
      </c>
      <c r="G1384" s="14" t="s">
        <v>198</v>
      </c>
    </row>
    <row r="1385" spans="1:7" x14ac:dyDescent="0.25">
      <c r="A1385" s="34" t="str">
        <f>"PIEZA 4700 SERIE C Nº 16"</f>
        <v>PIEZA 4700 SERIE C Nº 16</v>
      </c>
      <c r="B1385" s="2">
        <v>21</v>
      </c>
      <c r="C1385" s="2">
        <v>3</v>
      </c>
      <c r="D1385" s="11" t="str">
        <f t="shared" si="31"/>
        <v>UN</v>
      </c>
      <c r="E1385" s="12">
        <v>4.5375000000000014</v>
      </c>
      <c r="F1385" s="13">
        <v>0</v>
      </c>
      <c r="G1385" s="14" t="s">
        <v>198</v>
      </c>
    </row>
    <row r="1386" spans="1:7" x14ac:dyDescent="0.25">
      <c r="A1386" s="34" t="str">
        <f>"PIEZA 4700 SERIE C Nº 17"</f>
        <v>PIEZA 4700 SERIE C Nº 17</v>
      </c>
      <c r="B1386" s="2">
        <v>21</v>
      </c>
      <c r="C1386" s="2">
        <v>4</v>
      </c>
      <c r="D1386" s="11" t="str">
        <f t="shared" si="31"/>
        <v>UN</v>
      </c>
      <c r="E1386" s="12">
        <v>4.4000000000000012</v>
      </c>
      <c r="F1386" s="13">
        <v>0</v>
      </c>
      <c r="G1386" s="14" t="s">
        <v>198</v>
      </c>
    </row>
    <row r="1387" spans="1:7" x14ac:dyDescent="0.25">
      <c r="A1387" s="34" t="str">
        <f>"PIEZA 4700 SERIE C Nº 18"</f>
        <v>PIEZA 4700 SERIE C Nº 18</v>
      </c>
      <c r="B1387" s="2">
        <v>21</v>
      </c>
      <c r="C1387" s="2">
        <v>2</v>
      </c>
      <c r="D1387" s="11" t="str">
        <f t="shared" si="31"/>
        <v>UN</v>
      </c>
      <c r="E1387" s="12">
        <v>68.475000000000009</v>
      </c>
      <c r="F1387" s="13">
        <v>0</v>
      </c>
      <c r="G1387" s="14" t="s">
        <v>198</v>
      </c>
    </row>
    <row r="1388" spans="1:7" x14ac:dyDescent="0.25">
      <c r="A1388" s="34" t="str">
        <f>"PIEZA 4700 SERIE C Nº 21"</f>
        <v>PIEZA 4700 SERIE C Nº 21</v>
      </c>
      <c r="B1388" s="2">
        <v>21</v>
      </c>
      <c r="C1388" s="2">
        <v>24</v>
      </c>
      <c r="D1388" s="11" t="str">
        <f t="shared" si="31"/>
        <v>UN</v>
      </c>
      <c r="E1388" s="12">
        <v>330.3300000000001</v>
      </c>
      <c r="F1388" s="13">
        <v>0</v>
      </c>
      <c r="G1388" s="14" t="s">
        <v>198</v>
      </c>
    </row>
    <row r="1389" spans="1:7" x14ac:dyDescent="0.25">
      <c r="A1389" s="34" t="str">
        <f>"PIEZA 4700 SERIE C Nº 22"</f>
        <v>PIEZA 4700 SERIE C Nº 22</v>
      </c>
      <c r="B1389" s="2">
        <v>21</v>
      </c>
      <c r="C1389" s="2">
        <v>6</v>
      </c>
      <c r="D1389" s="11" t="str">
        <f t="shared" si="31"/>
        <v>UN</v>
      </c>
      <c r="E1389" s="12">
        <v>58.904999999999994</v>
      </c>
      <c r="F1389" s="13">
        <v>0</v>
      </c>
      <c r="G1389" s="14" t="s">
        <v>198</v>
      </c>
    </row>
    <row r="1390" spans="1:7" x14ac:dyDescent="0.25">
      <c r="A1390" s="34" t="str">
        <f>"PIEZA 4700 SERIE C Nº 24"</f>
        <v>PIEZA 4700 SERIE C Nº 24</v>
      </c>
      <c r="B1390" s="2">
        <v>21</v>
      </c>
      <c r="C1390" s="2">
        <v>7</v>
      </c>
      <c r="D1390" s="11" t="str">
        <f t="shared" si="31"/>
        <v>UN</v>
      </c>
      <c r="E1390" s="12">
        <v>20.693750000000001</v>
      </c>
      <c r="F1390" s="13">
        <v>0</v>
      </c>
      <c r="G1390" s="14" t="s">
        <v>198</v>
      </c>
    </row>
    <row r="1391" spans="1:7" x14ac:dyDescent="0.25">
      <c r="A1391" s="34" t="str">
        <f>"PIEZA 4700 SERIE C Nº 25"</f>
        <v>PIEZA 4700 SERIE C Nº 25</v>
      </c>
      <c r="B1391" s="2">
        <v>21</v>
      </c>
      <c r="C1391" s="2">
        <v>12</v>
      </c>
      <c r="D1391" s="11" t="str">
        <f t="shared" si="31"/>
        <v>UN</v>
      </c>
      <c r="E1391" s="12">
        <v>80.849999999999994</v>
      </c>
      <c r="F1391" s="13">
        <v>0</v>
      </c>
      <c r="G1391" s="14" t="s">
        <v>198</v>
      </c>
    </row>
    <row r="1392" spans="1:7" x14ac:dyDescent="0.25">
      <c r="A1392" s="34" t="str">
        <f>"PIEZA 4700 SERIE C Nº 25"</f>
        <v>PIEZA 4700 SERIE C Nº 25</v>
      </c>
      <c r="B1392" s="2">
        <v>21</v>
      </c>
      <c r="C1392" s="2">
        <v>7</v>
      </c>
      <c r="D1392" s="11" t="str">
        <f t="shared" si="31"/>
        <v>UN</v>
      </c>
      <c r="E1392" s="12">
        <v>37.152500000000003</v>
      </c>
      <c r="F1392" s="13">
        <v>0</v>
      </c>
      <c r="G1392" s="14" t="s">
        <v>198</v>
      </c>
    </row>
    <row r="1393" spans="1:7" x14ac:dyDescent="0.25">
      <c r="A1393" s="34" t="str">
        <f>"PIEZA 4700 SERIE C Nº 26"</f>
        <v>PIEZA 4700 SERIE C Nº 26</v>
      </c>
      <c r="B1393" s="2">
        <v>21</v>
      </c>
      <c r="C1393" s="2">
        <v>1</v>
      </c>
      <c r="D1393" s="11" t="str">
        <f t="shared" si="31"/>
        <v>UN</v>
      </c>
      <c r="E1393" s="12">
        <v>19.937499999999996</v>
      </c>
      <c r="F1393" s="13">
        <v>0</v>
      </c>
      <c r="G1393" s="14" t="s">
        <v>198</v>
      </c>
    </row>
    <row r="1394" spans="1:7" x14ac:dyDescent="0.25">
      <c r="A1394" s="34" t="str">
        <f>"PIEZA 4700 SERIE C Nº 27"</f>
        <v>PIEZA 4700 SERIE C Nº 27</v>
      </c>
      <c r="B1394" s="2">
        <v>21</v>
      </c>
      <c r="C1394" s="2">
        <v>9</v>
      </c>
      <c r="D1394" s="11" t="str">
        <f t="shared" si="31"/>
        <v>UN</v>
      </c>
      <c r="E1394" s="12">
        <v>188.10000000000002</v>
      </c>
      <c r="F1394" s="13">
        <v>0</v>
      </c>
      <c r="G1394" s="14" t="s">
        <v>198</v>
      </c>
    </row>
    <row r="1395" spans="1:7" x14ac:dyDescent="0.25">
      <c r="A1395" s="34" t="str">
        <f>"PIEZA 4700 SERIE C Nº 28"</f>
        <v>PIEZA 4700 SERIE C Nº 28</v>
      </c>
      <c r="B1395" s="2">
        <v>21</v>
      </c>
      <c r="C1395" s="2">
        <v>1</v>
      </c>
      <c r="D1395" s="11" t="str">
        <f t="shared" si="31"/>
        <v>UN</v>
      </c>
      <c r="E1395" s="12">
        <v>51.92</v>
      </c>
      <c r="F1395" s="13">
        <v>0</v>
      </c>
      <c r="G1395" s="14" t="s">
        <v>198</v>
      </c>
    </row>
    <row r="1396" spans="1:7" x14ac:dyDescent="0.25">
      <c r="A1396" s="34" t="str">
        <f>"PIEZA 4700 SERIE C Nº 29"</f>
        <v>PIEZA 4700 SERIE C Nº 29</v>
      </c>
      <c r="B1396" s="2">
        <v>21</v>
      </c>
      <c r="C1396" s="2">
        <v>5</v>
      </c>
      <c r="D1396" s="11" t="str">
        <f t="shared" si="31"/>
        <v>UN</v>
      </c>
      <c r="E1396" s="12">
        <v>47.4375</v>
      </c>
      <c r="F1396" s="13">
        <v>0</v>
      </c>
      <c r="G1396" s="14" t="s">
        <v>198</v>
      </c>
    </row>
    <row r="1397" spans="1:7" x14ac:dyDescent="0.25">
      <c r="A1397" s="34" t="str">
        <f>"PIEZA 4700 SERIE C Nº 30"</f>
        <v>PIEZA 4700 SERIE C Nº 30</v>
      </c>
      <c r="B1397" s="2">
        <v>21</v>
      </c>
      <c r="C1397" s="2">
        <v>8</v>
      </c>
      <c r="D1397" s="11" t="str">
        <f t="shared" si="31"/>
        <v>UN</v>
      </c>
      <c r="E1397" s="12">
        <v>7.81</v>
      </c>
      <c r="F1397" s="13">
        <v>0</v>
      </c>
      <c r="G1397" s="14" t="s">
        <v>198</v>
      </c>
    </row>
    <row r="1398" spans="1:7" x14ac:dyDescent="0.25">
      <c r="A1398" s="34" t="str">
        <f>"PIEZA 4700 SERIE C Nº 31"</f>
        <v>PIEZA 4700 SERIE C Nº 31</v>
      </c>
      <c r="B1398" s="2">
        <v>21</v>
      </c>
      <c r="C1398" s="2">
        <v>5</v>
      </c>
      <c r="D1398" s="11" t="str">
        <f t="shared" si="31"/>
        <v>UN</v>
      </c>
      <c r="E1398" s="12">
        <v>9.625</v>
      </c>
      <c r="F1398" s="13">
        <v>0</v>
      </c>
      <c r="G1398" s="14" t="s">
        <v>198</v>
      </c>
    </row>
    <row r="1399" spans="1:7" x14ac:dyDescent="0.25">
      <c r="A1399" s="34" t="str">
        <f>"PIEZA 4700 SERIE C Nº 32"</f>
        <v>PIEZA 4700 SERIE C Nº 32</v>
      </c>
      <c r="B1399" s="2">
        <v>21</v>
      </c>
      <c r="C1399" s="2">
        <v>4</v>
      </c>
      <c r="D1399" s="11" t="str">
        <f t="shared" si="31"/>
        <v>UN</v>
      </c>
      <c r="E1399" s="12">
        <v>179.13499999999999</v>
      </c>
      <c r="F1399" s="13">
        <v>0</v>
      </c>
      <c r="G1399" s="14" t="s">
        <v>198</v>
      </c>
    </row>
    <row r="1400" spans="1:7" x14ac:dyDescent="0.25">
      <c r="A1400" s="34" t="str">
        <f>"PIEZA 4700 SERIE C Nº 33"</f>
        <v>PIEZA 4700 SERIE C Nº 33</v>
      </c>
      <c r="B1400" s="2">
        <v>21</v>
      </c>
      <c r="C1400" s="2">
        <v>14</v>
      </c>
      <c r="D1400" s="11" t="str">
        <f t="shared" si="31"/>
        <v>UN</v>
      </c>
      <c r="E1400" s="12">
        <v>14.4375</v>
      </c>
      <c r="F1400" s="13">
        <v>0</v>
      </c>
      <c r="G1400" s="14" t="s">
        <v>198</v>
      </c>
    </row>
    <row r="1401" spans="1:7" x14ac:dyDescent="0.25">
      <c r="A1401" s="34" t="str">
        <f>"PIEZA 4700 SERIE C Nº 34"</f>
        <v>PIEZA 4700 SERIE C Nº 34</v>
      </c>
      <c r="B1401" s="2">
        <v>21</v>
      </c>
      <c r="C1401" s="2">
        <v>5</v>
      </c>
      <c r="D1401" s="11" t="str">
        <f t="shared" si="31"/>
        <v>UN</v>
      </c>
      <c r="E1401" s="12">
        <v>107.25</v>
      </c>
      <c r="F1401" s="13">
        <v>0</v>
      </c>
      <c r="G1401" s="14" t="s">
        <v>198</v>
      </c>
    </row>
    <row r="1402" spans="1:7" x14ac:dyDescent="0.25">
      <c r="A1402" s="34" t="str">
        <f>"PIEZA 4700 SERIE C Nº 35"</f>
        <v>PIEZA 4700 SERIE C Nº 35</v>
      </c>
      <c r="B1402" s="2">
        <v>21</v>
      </c>
      <c r="C1402" s="2">
        <v>12</v>
      </c>
      <c r="D1402" s="11" t="str">
        <f t="shared" si="31"/>
        <v>UN</v>
      </c>
      <c r="E1402" s="12">
        <v>11.549999999999999</v>
      </c>
      <c r="F1402" s="13">
        <v>0</v>
      </c>
      <c r="G1402" s="14" t="s">
        <v>198</v>
      </c>
    </row>
    <row r="1403" spans="1:7" x14ac:dyDescent="0.25">
      <c r="A1403" s="34" t="str">
        <f>"PIEZA 4700 SERIE C Nº 36"</f>
        <v>PIEZA 4700 SERIE C Nº 36</v>
      </c>
      <c r="B1403" s="2">
        <v>21</v>
      </c>
      <c r="C1403" s="2">
        <v>8</v>
      </c>
      <c r="D1403" s="11" t="str">
        <f t="shared" si="31"/>
        <v>UN</v>
      </c>
      <c r="E1403" s="12">
        <v>25.300000000000004</v>
      </c>
      <c r="F1403" s="13">
        <v>0</v>
      </c>
      <c r="G1403" s="14" t="s">
        <v>198</v>
      </c>
    </row>
    <row r="1404" spans="1:7" x14ac:dyDescent="0.25">
      <c r="A1404" s="34" t="str">
        <f>"PIEZA 4700 SERIE C Nº 37"</f>
        <v>PIEZA 4700 SERIE C Nº 37</v>
      </c>
      <c r="B1404" s="2">
        <v>21</v>
      </c>
      <c r="C1404" s="2">
        <v>17</v>
      </c>
      <c r="D1404" s="11" t="str">
        <f t="shared" si="31"/>
        <v>UN</v>
      </c>
      <c r="E1404" s="12">
        <v>98.175000000000026</v>
      </c>
      <c r="F1404" s="13">
        <v>0</v>
      </c>
      <c r="G1404" s="14" t="s">
        <v>198</v>
      </c>
    </row>
    <row r="1405" spans="1:7" x14ac:dyDescent="0.25">
      <c r="A1405" s="34" t="str">
        <f>"PIEZA 4700 SERIE C Nº 38"</f>
        <v>PIEZA 4700 SERIE C Nº 38</v>
      </c>
      <c r="B1405" s="2">
        <v>21</v>
      </c>
      <c r="C1405" s="2">
        <v>10</v>
      </c>
      <c r="D1405" s="11" t="str">
        <f t="shared" si="31"/>
        <v>UN</v>
      </c>
      <c r="E1405" s="12">
        <v>19.25</v>
      </c>
      <c r="F1405" s="13">
        <v>0</v>
      </c>
      <c r="G1405" s="14" t="s">
        <v>198</v>
      </c>
    </row>
    <row r="1406" spans="1:7" x14ac:dyDescent="0.25">
      <c r="A1406" s="34" t="str">
        <f>"PIEZA 4700 SERIE C Nº 39"</f>
        <v>PIEZA 4700 SERIE C Nº 39</v>
      </c>
      <c r="B1406" s="2">
        <v>21</v>
      </c>
      <c r="C1406" s="2">
        <v>4</v>
      </c>
      <c r="D1406" s="11" t="str">
        <f t="shared" si="31"/>
        <v>UN</v>
      </c>
      <c r="E1406" s="12">
        <v>23.100000000000005</v>
      </c>
      <c r="F1406" s="13">
        <v>0</v>
      </c>
      <c r="G1406" s="14" t="s">
        <v>198</v>
      </c>
    </row>
    <row r="1407" spans="1:7" x14ac:dyDescent="0.25">
      <c r="A1407" s="34" t="str">
        <f>"PIEZA 4700 SERIE C Nº 40"</f>
        <v>PIEZA 4700 SERIE C Nº 40</v>
      </c>
      <c r="B1407" s="2">
        <v>21</v>
      </c>
      <c r="C1407" s="2">
        <v>5</v>
      </c>
      <c r="D1407" s="11" t="str">
        <f t="shared" si="31"/>
        <v>UN</v>
      </c>
      <c r="E1407" s="12">
        <v>0</v>
      </c>
      <c r="F1407" s="13">
        <v>0</v>
      </c>
      <c r="G1407" s="14" t="s">
        <v>198</v>
      </c>
    </row>
    <row r="1408" spans="1:7" x14ac:dyDescent="0.25">
      <c r="A1408" s="34" t="str">
        <f>"PIEZA 4700 SERIE C Nº 41"</f>
        <v>PIEZA 4700 SERIE C Nº 41</v>
      </c>
      <c r="B1408" s="2">
        <v>21</v>
      </c>
      <c r="C1408" s="2">
        <v>1</v>
      </c>
      <c r="D1408" s="11" t="str">
        <f t="shared" si="31"/>
        <v>UN</v>
      </c>
      <c r="E1408" s="12">
        <v>34.567500000000003</v>
      </c>
      <c r="F1408" s="13">
        <v>0</v>
      </c>
      <c r="G1408" s="14" t="s">
        <v>198</v>
      </c>
    </row>
    <row r="1409" spans="1:7" x14ac:dyDescent="0.25">
      <c r="A1409" s="34" t="str">
        <f>"PIEZA 4700 SERIE C Nº 42"</f>
        <v>PIEZA 4700 SERIE C Nº 42</v>
      </c>
      <c r="B1409" s="2">
        <v>21</v>
      </c>
      <c r="C1409" s="2">
        <v>3</v>
      </c>
      <c r="D1409" s="11" t="str">
        <f t="shared" si="31"/>
        <v>UN</v>
      </c>
      <c r="E1409" s="12">
        <v>19.8</v>
      </c>
      <c r="F1409" s="13">
        <v>0</v>
      </c>
      <c r="G1409" s="14" t="s">
        <v>198</v>
      </c>
    </row>
    <row r="1410" spans="1:7" x14ac:dyDescent="0.25">
      <c r="A1410" s="34" t="str">
        <f>"PIEZA 4700 SERIE C Nº 43"</f>
        <v>PIEZA 4700 SERIE C Nº 43</v>
      </c>
      <c r="B1410" s="2">
        <v>21</v>
      </c>
      <c r="C1410" s="2">
        <v>17</v>
      </c>
      <c r="D1410" s="11" t="str">
        <f t="shared" si="31"/>
        <v>UN</v>
      </c>
      <c r="E1410" s="12">
        <v>32.725000000000009</v>
      </c>
      <c r="F1410" s="13">
        <v>0</v>
      </c>
      <c r="G1410" s="14" t="s">
        <v>198</v>
      </c>
    </row>
    <row r="1411" spans="1:7" x14ac:dyDescent="0.25">
      <c r="A1411" s="34" t="str">
        <f>"PIEZA 4700 SERIE C Nº 5"</f>
        <v>PIEZA 4700 SERIE C Nº 5</v>
      </c>
      <c r="B1411" s="2">
        <v>21</v>
      </c>
      <c r="C1411" s="2">
        <v>5</v>
      </c>
      <c r="D1411" s="11" t="str">
        <f t="shared" si="31"/>
        <v>UN</v>
      </c>
      <c r="E1411" s="12">
        <v>18.562500000000004</v>
      </c>
      <c r="F1411" s="13">
        <v>0</v>
      </c>
      <c r="G1411" s="14" t="s">
        <v>198</v>
      </c>
    </row>
    <row r="1412" spans="1:7" x14ac:dyDescent="0.25">
      <c r="A1412" s="34" t="str">
        <f>"PIEZA 4760 SERIE C Nº 36"</f>
        <v>PIEZA 4760 SERIE C Nº 36</v>
      </c>
      <c r="B1412" s="2">
        <v>21</v>
      </c>
      <c r="C1412" s="2">
        <v>6</v>
      </c>
      <c r="D1412" s="11" t="str">
        <f t="shared" si="31"/>
        <v>UN</v>
      </c>
      <c r="E1412" s="12">
        <v>17.325000000000006</v>
      </c>
      <c r="F1412" s="13">
        <v>0</v>
      </c>
      <c r="G1412" s="14" t="s">
        <v>198</v>
      </c>
    </row>
    <row r="1413" spans="1:7" x14ac:dyDescent="0.25">
      <c r="A1413" s="34" t="str">
        <f>"PIEZA 4760 SERIE C Nº 38"</f>
        <v>PIEZA 4760 SERIE C Nº 38</v>
      </c>
      <c r="B1413" s="2">
        <v>21</v>
      </c>
      <c r="C1413" s="2">
        <v>1</v>
      </c>
      <c r="D1413" s="11" t="str">
        <f t="shared" si="31"/>
        <v>UN</v>
      </c>
      <c r="E1413" s="12">
        <v>1.8562500000000004</v>
      </c>
      <c r="F1413" s="13">
        <v>0</v>
      </c>
      <c r="G1413" s="14" t="s">
        <v>198</v>
      </c>
    </row>
    <row r="1414" spans="1:7" x14ac:dyDescent="0.25">
      <c r="A1414" s="34" t="str">
        <f>"PIEZA 4760 SERIE C Nº 39"</f>
        <v>PIEZA 4760 SERIE C Nº 39</v>
      </c>
      <c r="B1414" s="2">
        <v>21</v>
      </c>
      <c r="C1414" s="2">
        <v>8</v>
      </c>
      <c r="D1414" s="11" t="str">
        <f t="shared" si="31"/>
        <v>UN</v>
      </c>
      <c r="E1414" s="12">
        <v>44.55</v>
      </c>
      <c r="F1414" s="13">
        <v>0</v>
      </c>
      <c r="G1414" s="14" t="s">
        <v>198</v>
      </c>
    </row>
    <row r="1415" spans="1:7" x14ac:dyDescent="0.25">
      <c r="A1415" s="34" t="str">
        <f>"PIEZA 4760 SERIE C Nº 40"</f>
        <v>PIEZA 4760 SERIE C Nº 40</v>
      </c>
      <c r="B1415" s="2">
        <v>21</v>
      </c>
      <c r="C1415" s="2">
        <v>2</v>
      </c>
      <c r="D1415" s="11" t="str">
        <f t="shared" si="31"/>
        <v>UN</v>
      </c>
      <c r="E1415" s="12">
        <v>3.5475000000000008</v>
      </c>
      <c r="F1415" s="13">
        <v>0</v>
      </c>
      <c r="G1415" s="14" t="s">
        <v>198</v>
      </c>
    </row>
    <row r="1416" spans="1:7" x14ac:dyDescent="0.25">
      <c r="A1416" s="34" t="str">
        <f>"PIEZA 4760 SERIE C Nº 42"</f>
        <v>PIEZA 4760 SERIE C Nº 42</v>
      </c>
      <c r="B1416" s="2">
        <v>21</v>
      </c>
      <c r="C1416" s="2">
        <v>4</v>
      </c>
      <c r="D1416" s="11" t="str">
        <f t="shared" si="31"/>
        <v>UN</v>
      </c>
      <c r="E1416" s="12">
        <v>24.365000000000002</v>
      </c>
      <c r="F1416" s="13">
        <v>0</v>
      </c>
      <c r="G1416" s="14" t="s">
        <v>198</v>
      </c>
    </row>
    <row r="1417" spans="1:7" x14ac:dyDescent="0.25">
      <c r="A1417" s="34" t="str">
        <f>"PIEZA 4760 SERIE C Nº 43"</f>
        <v>PIEZA 4760 SERIE C Nº 43</v>
      </c>
      <c r="B1417" s="2">
        <v>21</v>
      </c>
      <c r="C1417" s="2">
        <v>6</v>
      </c>
      <c r="D1417" s="11" t="str">
        <f t="shared" si="31"/>
        <v>UN</v>
      </c>
      <c r="E1417" s="12">
        <v>5.8574999999999999</v>
      </c>
      <c r="F1417" s="13">
        <v>0</v>
      </c>
      <c r="G1417" s="14" t="s">
        <v>198</v>
      </c>
    </row>
    <row r="1418" spans="1:7" x14ac:dyDescent="0.25">
      <c r="A1418" s="34" t="str">
        <f>"PIEZA 4780 SERIE A Nº 01"</f>
        <v>PIEZA 4780 SERIE A Nº 01</v>
      </c>
      <c r="B1418" s="2">
        <v>21</v>
      </c>
      <c r="C1418" s="2">
        <v>1</v>
      </c>
      <c r="D1418" s="11" t="str">
        <f t="shared" ref="D1418:D1481" si="32">"UN"</f>
        <v>UN</v>
      </c>
      <c r="E1418" s="12">
        <v>0</v>
      </c>
      <c r="F1418" s="13">
        <v>0</v>
      </c>
      <c r="G1418" s="14" t="s">
        <v>198</v>
      </c>
    </row>
    <row r="1419" spans="1:7" x14ac:dyDescent="0.25">
      <c r="A1419" s="34" t="str">
        <f>"PIEZA 4780 SERIE A Nº 09"</f>
        <v>PIEZA 4780 SERIE A Nº 09</v>
      </c>
      <c r="B1419" s="2">
        <v>21</v>
      </c>
      <c r="C1419" s="2">
        <v>3</v>
      </c>
      <c r="D1419" s="11" t="str">
        <f t="shared" si="32"/>
        <v>UN</v>
      </c>
      <c r="E1419" s="12">
        <v>20.006250000000001</v>
      </c>
      <c r="F1419" s="13">
        <v>0</v>
      </c>
      <c r="G1419" s="14" t="s">
        <v>198</v>
      </c>
    </row>
    <row r="1420" spans="1:7" x14ac:dyDescent="0.25">
      <c r="A1420" s="34" t="str">
        <f>"PIEZA 4780 SERIE A Nº 24"</f>
        <v>PIEZA 4780 SERIE A Nº 24</v>
      </c>
      <c r="B1420" s="2">
        <v>21</v>
      </c>
      <c r="C1420" s="2">
        <v>32</v>
      </c>
      <c r="D1420" s="11" t="str">
        <f t="shared" si="32"/>
        <v>UN</v>
      </c>
      <c r="E1420" s="12">
        <v>62.92</v>
      </c>
      <c r="F1420" s="13">
        <v>0</v>
      </c>
      <c r="G1420" s="14" t="s">
        <v>198</v>
      </c>
    </row>
    <row r="1421" spans="1:7" x14ac:dyDescent="0.25">
      <c r="A1421" s="34" t="str">
        <f>"PIEZA 4780 SERIE A Nº 25"</f>
        <v>PIEZA 4780 SERIE A Nº 25</v>
      </c>
      <c r="B1421" s="2">
        <v>21</v>
      </c>
      <c r="C1421" s="2">
        <v>1</v>
      </c>
      <c r="D1421" s="11" t="str">
        <f t="shared" si="32"/>
        <v>UN</v>
      </c>
      <c r="E1421" s="12">
        <v>0</v>
      </c>
      <c r="F1421" s="13">
        <v>0</v>
      </c>
      <c r="G1421" s="14" t="s">
        <v>198</v>
      </c>
    </row>
    <row r="1422" spans="1:7" x14ac:dyDescent="0.25">
      <c r="A1422" s="34" t="str">
        <f>"PIEZA 4780 SERIE A Nº 26"</f>
        <v>PIEZA 4780 SERIE A Nº 26</v>
      </c>
      <c r="B1422" s="2">
        <v>21</v>
      </c>
      <c r="C1422" s="2">
        <v>6</v>
      </c>
      <c r="D1422" s="11" t="str">
        <f t="shared" si="32"/>
        <v>UN</v>
      </c>
      <c r="E1422" s="12">
        <v>122.595</v>
      </c>
      <c r="F1422" s="13">
        <v>0</v>
      </c>
      <c r="G1422" s="14" t="s">
        <v>198</v>
      </c>
    </row>
    <row r="1423" spans="1:7" x14ac:dyDescent="0.25">
      <c r="A1423" s="34" t="str">
        <f>"PIEZA 4780 SERIE A Nº 27"</f>
        <v>PIEZA 4780 SERIE A Nº 27</v>
      </c>
      <c r="B1423" s="2">
        <v>21</v>
      </c>
      <c r="C1423" s="2">
        <v>4</v>
      </c>
      <c r="D1423" s="11" t="str">
        <f t="shared" si="32"/>
        <v>UN</v>
      </c>
      <c r="E1423" s="12">
        <v>0</v>
      </c>
      <c r="F1423" s="13">
        <v>0</v>
      </c>
      <c r="G1423" s="14" t="s">
        <v>198</v>
      </c>
    </row>
    <row r="1424" spans="1:7" x14ac:dyDescent="0.25">
      <c r="A1424" s="34" t="str">
        <f>"PIEZA 4780 SERIE A Nº 30"</f>
        <v>PIEZA 4780 SERIE A Nº 30</v>
      </c>
      <c r="B1424" s="2">
        <v>21</v>
      </c>
      <c r="C1424" s="2">
        <v>3</v>
      </c>
      <c r="D1424" s="11" t="str">
        <f t="shared" si="32"/>
        <v>UN</v>
      </c>
      <c r="E1424" s="12">
        <v>235.125</v>
      </c>
      <c r="F1424" s="13">
        <v>0</v>
      </c>
      <c r="G1424" s="14" t="s">
        <v>198</v>
      </c>
    </row>
    <row r="1425" spans="1:7" x14ac:dyDescent="0.25">
      <c r="A1425" s="34" t="str">
        <f>"PIEZA 4780 SERIE A Nº 31"</f>
        <v>PIEZA 4780 SERIE A Nº 31</v>
      </c>
      <c r="B1425" s="2">
        <v>21</v>
      </c>
      <c r="C1425" s="2">
        <v>8</v>
      </c>
      <c r="D1425" s="11" t="str">
        <f t="shared" si="32"/>
        <v>UN</v>
      </c>
      <c r="E1425" s="12">
        <v>12.100000000000003</v>
      </c>
      <c r="F1425" s="13">
        <v>0</v>
      </c>
      <c r="G1425" s="14" t="s">
        <v>198</v>
      </c>
    </row>
    <row r="1426" spans="1:7" x14ac:dyDescent="0.25">
      <c r="A1426" s="34" t="str">
        <f>"PIEZA 4780 SERIE A Nº 32"</f>
        <v>PIEZA 4780 SERIE A Nº 32</v>
      </c>
      <c r="B1426" s="2">
        <v>21</v>
      </c>
      <c r="C1426" s="2">
        <v>14</v>
      </c>
      <c r="D1426" s="11" t="str">
        <f t="shared" si="32"/>
        <v>UN</v>
      </c>
      <c r="E1426" s="12">
        <v>127.05000000000003</v>
      </c>
      <c r="F1426" s="13">
        <v>0</v>
      </c>
      <c r="G1426" s="14" t="s">
        <v>198</v>
      </c>
    </row>
    <row r="1427" spans="1:7" x14ac:dyDescent="0.25">
      <c r="A1427" s="34" t="str">
        <f>"PIEZA 4780 SERIE A Nº 33"</f>
        <v>PIEZA 4780 SERIE A Nº 33</v>
      </c>
      <c r="B1427" s="2">
        <v>21</v>
      </c>
      <c r="C1427" s="2">
        <v>4</v>
      </c>
      <c r="D1427" s="11" t="str">
        <f t="shared" si="32"/>
        <v>UN</v>
      </c>
      <c r="E1427" s="12">
        <v>0</v>
      </c>
      <c r="F1427" s="13">
        <v>0</v>
      </c>
      <c r="G1427" s="14" t="s">
        <v>198</v>
      </c>
    </row>
    <row r="1428" spans="1:7" x14ac:dyDescent="0.25">
      <c r="A1428" s="34" t="str">
        <f>"PIEZA 4780 SERIE A Nº 34"</f>
        <v>PIEZA 4780 SERIE A Nº 34</v>
      </c>
      <c r="B1428" s="2">
        <v>21</v>
      </c>
      <c r="C1428" s="2">
        <v>5</v>
      </c>
      <c r="D1428" s="11" t="str">
        <f t="shared" si="32"/>
        <v>UN</v>
      </c>
      <c r="E1428" s="12">
        <v>451.00000000000006</v>
      </c>
      <c r="F1428" s="13">
        <v>0</v>
      </c>
      <c r="G1428" s="14" t="s">
        <v>198</v>
      </c>
    </row>
    <row r="1429" spans="1:7" x14ac:dyDescent="0.25">
      <c r="A1429" s="34" t="str">
        <f>"PIEZA 4780 SERIE A Nº 36"</f>
        <v>PIEZA 4780 SERIE A Nº 36</v>
      </c>
      <c r="B1429" s="2">
        <v>21</v>
      </c>
      <c r="C1429" s="2">
        <v>11</v>
      </c>
      <c r="D1429" s="11" t="str">
        <f t="shared" si="32"/>
        <v>UN</v>
      </c>
      <c r="E1429" s="12">
        <v>285.86249999999995</v>
      </c>
      <c r="F1429" s="13">
        <v>0</v>
      </c>
      <c r="G1429" s="14" t="s">
        <v>198</v>
      </c>
    </row>
    <row r="1430" spans="1:7" x14ac:dyDescent="0.25">
      <c r="A1430" s="34" t="str">
        <f>"PIEZA 4780 SERIE A Nº 38"</f>
        <v>PIEZA 4780 SERIE A Nº 38</v>
      </c>
      <c r="B1430" s="2">
        <v>21</v>
      </c>
      <c r="C1430" s="2">
        <v>10</v>
      </c>
      <c r="D1430" s="11" t="str">
        <f t="shared" si="32"/>
        <v>UN</v>
      </c>
      <c r="E1430" s="12">
        <v>25.575000000000003</v>
      </c>
      <c r="F1430" s="13">
        <v>0</v>
      </c>
      <c r="G1430" s="14" t="s">
        <v>198</v>
      </c>
    </row>
    <row r="1431" spans="1:7" x14ac:dyDescent="0.25">
      <c r="A1431" s="34" t="str">
        <f>"PIEZA 4780 SERIE A Nº 42"</f>
        <v>PIEZA 4780 SERIE A Nº 42</v>
      </c>
      <c r="B1431" s="2">
        <v>21</v>
      </c>
      <c r="C1431" s="2">
        <v>5</v>
      </c>
      <c r="D1431" s="11" t="str">
        <f t="shared" si="32"/>
        <v>UN</v>
      </c>
      <c r="E1431" s="12">
        <v>25.506250000000005</v>
      </c>
      <c r="F1431" s="13">
        <v>0</v>
      </c>
      <c r="G1431" s="14" t="s">
        <v>198</v>
      </c>
    </row>
    <row r="1432" spans="1:7" x14ac:dyDescent="0.25">
      <c r="A1432" s="34" t="str">
        <f>"PIEZA 4780 SERIE A Nº 45"</f>
        <v>PIEZA 4780 SERIE A Nº 45</v>
      </c>
      <c r="B1432" s="2">
        <v>21</v>
      </c>
      <c r="C1432" s="2">
        <v>1</v>
      </c>
      <c r="D1432" s="11" t="str">
        <f t="shared" si="32"/>
        <v>UN</v>
      </c>
      <c r="E1432" s="12">
        <v>46.94250000000001</v>
      </c>
      <c r="F1432" s="13">
        <v>0</v>
      </c>
      <c r="G1432" s="14" t="s">
        <v>198</v>
      </c>
    </row>
    <row r="1433" spans="1:7" x14ac:dyDescent="0.25">
      <c r="A1433" s="34" t="str">
        <f>"PIEZA 4780 SERIE A Nº 56"</f>
        <v>PIEZA 4780 SERIE A Nº 56</v>
      </c>
      <c r="B1433" s="2">
        <v>21</v>
      </c>
      <c r="C1433" s="2">
        <v>10</v>
      </c>
      <c r="D1433" s="11" t="str">
        <f t="shared" si="32"/>
        <v>UN</v>
      </c>
      <c r="E1433" s="12">
        <v>13.0625</v>
      </c>
      <c r="F1433" s="13">
        <v>0</v>
      </c>
      <c r="G1433" s="14" t="s">
        <v>198</v>
      </c>
    </row>
    <row r="1434" spans="1:7" x14ac:dyDescent="0.25">
      <c r="A1434" s="34" t="str">
        <f>"PIEZA 4780 SERIE A Nº 57"</f>
        <v>PIEZA 4780 SERIE A Nº 57</v>
      </c>
      <c r="B1434" s="2">
        <v>21</v>
      </c>
      <c r="C1434" s="2">
        <v>3</v>
      </c>
      <c r="D1434" s="11" t="str">
        <f t="shared" si="32"/>
        <v>UN</v>
      </c>
      <c r="E1434" s="12">
        <v>89.925000000000026</v>
      </c>
      <c r="F1434" s="13">
        <v>0</v>
      </c>
      <c r="G1434" s="14" t="s">
        <v>198</v>
      </c>
    </row>
    <row r="1435" spans="1:7" x14ac:dyDescent="0.25">
      <c r="A1435" s="34" t="str">
        <f>"PIEZA 4780 SERIE A Nº 58"</f>
        <v>PIEZA 4780 SERIE A Nº 58</v>
      </c>
      <c r="B1435" s="2">
        <v>21</v>
      </c>
      <c r="C1435" s="2">
        <v>4</v>
      </c>
      <c r="D1435" s="11" t="str">
        <f t="shared" si="32"/>
        <v>UN</v>
      </c>
      <c r="E1435" s="12">
        <v>24.200000000000006</v>
      </c>
      <c r="F1435" s="13">
        <v>0</v>
      </c>
      <c r="G1435" s="14" t="s">
        <v>198</v>
      </c>
    </row>
    <row r="1436" spans="1:7" x14ac:dyDescent="0.25">
      <c r="A1436" s="34" t="str">
        <f>"PIEZA 5030 SERIE A Nº 03"</f>
        <v>PIEZA 5030 SERIE A Nº 03</v>
      </c>
      <c r="B1436" s="2">
        <v>21</v>
      </c>
      <c r="C1436" s="2">
        <v>1</v>
      </c>
      <c r="D1436" s="11" t="str">
        <f t="shared" si="32"/>
        <v>UN</v>
      </c>
      <c r="E1436" s="12">
        <v>63.73125000000001</v>
      </c>
      <c r="F1436" s="13">
        <v>0</v>
      </c>
      <c r="G1436" s="14" t="s">
        <v>198</v>
      </c>
    </row>
    <row r="1437" spans="1:7" x14ac:dyDescent="0.25">
      <c r="A1437" s="34" t="str">
        <f>"PIEZA 5100 SERIE A Nº 02"</f>
        <v>PIEZA 5100 SERIE A Nº 02</v>
      </c>
      <c r="B1437" s="2">
        <v>21</v>
      </c>
      <c r="C1437" s="2">
        <v>3</v>
      </c>
      <c r="D1437" s="11" t="str">
        <f t="shared" si="32"/>
        <v>UN</v>
      </c>
      <c r="E1437" s="12">
        <v>175.72500000000002</v>
      </c>
      <c r="F1437" s="13">
        <v>0</v>
      </c>
      <c r="G1437" s="14" t="s">
        <v>198</v>
      </c>
    </row>
    <row r="1438" spans="1:7" x14ac:dyDescent="0.25">
      <c r="A1438" s="34" t="str">
        <f>"PIEZA 5100 SERIE A Nº 03"</f>
        <v>PIEZA 5100 SERIE A Nº 03</v>
      </c>
      <c r="B1438" s="2">
        <v>21</v>
      </c>
      <c r="C1438" s="2">
        <v>40</v>
      </c>
      <c r="D1438" s="11" t="str">
        <f t="shared" si="32"/>
        <v>UN</v>
      </c>
      <c r="E1438" s="12">
        <v>467.50000000000006</v>
      </c>
      <c r="F1438" s="13">
        <v>0</v>
      </c>
      <c r="G1438" s="14" t="s">
        <v>198</v>
      </c>
    </row>
    <row r="1439" spans="1:7" x14ac:dyDescent="0.25">
      <c r="A1439" s="34" t="str">
        <f>"PIEZA 5100 SERIE A Nº 06"</f>
        <v>PIEZA 5100 SERIE A Nº 06</v>
      </c>
      <c r="B1439" s="2">
        <v>21</v>
      </c>
      <c r="C1439" s="2">
        <v>38</v>
      </c>
      <c r="D1439" s="11" t="str">
        <f t="shared" si="32"/>
        <v>UN</v>
      </c>
      <c r="E1439" s="12">
        <v>55.384999999999998</v>
      </c>
      <c r="F1439" s="13">
        <v>0</v>
      </c>
      <c r="G1439" s="14" t="s">
        <v>198</v>
      </c>
    </row>
    <row r="1440" spans="1:7" x14ac:dyDescent="0.25">
      <c r="A1440" s="34" t="str">
        <f>"PIEZA 5100 SERIE A Nº 07"</f>
        <v>PIEZA 5100 SERIE A Nº 07</v>
      </c>
      <c r="B1440" s="2">
        <v>21</v>
      </c>
      <c r="C1440" s="2">
        <v>6</v>
      </c>
      <c r="D1440" s="11" t="str">
        <f t="shared" si="32"/>
        <v>UN</v>
      </c>
      <c r="E1440" s="12">
        <v>14.107500000000003</v>
      </c>
      <c r="F1440" s="13">
        <v>0</v>
      </c>
      <c r="G1440" s="14" t="s">
        <v>198</v>
      </c>
    </row>
    <row r="1441" spans="1:7" x14ac:dyDescent="0.25">
      <c r="A1441" s="34" t="str">
        <f>"PIEZA 5100 SERIE A Nº 14"</f>
        <v>PIEZA 5100 SERIE A Nº 14</v>
      </c>
      <c r="B1441" s="2">
        <v>21</v>
      </c>
      <c r="C1441" s="2">
        <v>118</v>
      </c>
      <c r="D1441" s="11" t="str">
        <f t="shared" si="32"/>
        <v>UN</v>
      </c>
      <c r="E1441" s="12">
        <v>115.19750000000001</v>
      </c>
      <c r="F1441" s="13">
        <v>0</v>
      </c>
      <c r="G1441" s="14" t="s">
        <v>198</v>
      </c>
    </row>
    <row r="1442" spans="1:7" x14ac:dyDescent="0.25">
      <c r="A1442" s="34" t="str">
        <f>"PIEZA 5100 SERIE A Nº 17"</f>
        <v>PIEZA 5100 SERIE A Nº 17</v>
      </c>
      <c r="B1442" s="2">
        <v>21</v>
      </c>
      <c r="C1442" s="2">
        <v>67</v>
      </c>
      <c r="D1442" s="11" t="str">
        <f t="shared" si="32"/>
        <v>UN</v>
      </c>
      <c r="E1442" s="12">
        <v>291.11500000000001</v>
      </c>
      <c r="F1442" s="13">
        <v>0</v>
      </c>
      <c r="G1442" s="14" t="s">
        <v>198</v>
      </c>
    </row>
    <row r="1443" spans="1:7" x14ac:dyDescent="0.25">
      <c r="A1443" s="34" t="str">
        <f>"PIEZA 5100 SERIE A Nº 18"</f>
        <v>PIEZA 5100 SERIE A Nº 18</v>
      </c>
      <c r="B1443" s="2">
        <v>21</v>
      </c>
      <c r="C1443" s="2">
        <v>12</v>
      </c>
      <c r="D1443" s="11" t="str">
        <f t="shared" si="32"/>
        <v>UN</v>
      </c>
      <c r="E1443" s="12">
        <v>21.285000000000004</v>
      </c>
      <c r="F1443" s="13">
        <v>0</v>
      </c>
      <c r="G1443" s="14" t="s">
        <v>198</v>
      </c>
    </row>
    <row r="1444" spans="1:7" x14ac:dyDescent="0.25">
      <c r="A1444" s="34" t="str">
        <f>"PIEZA 5100 SERIE A Nº 19"</f>
        <v>PIEZA 5100 SERIE A Nº 19</v>
      </c>
      <c r="B1444" s="2">
        <v>21</v>
      </c>
      <c r="C1444" s="2">
        <v>36</v>
      </c>
      <c r="D1444" s="11" t="str">
        <f t="shared" si="32"/>
        <v>UN</v>
      </c>
      <c r="E1444" s="12">
        <v>35.144999999999996</v>
      </c>
      <c r="F1444" s="13">
        <v>0</v>
      </c>
      <c r="G1444" s="14" t="s">
        <v>198</v>
      </c>
    </row>
    <row r="1445" spans="1:7" x14ac:dyDescent="0.25">
      <c r="A1445" s="34" t="str">
        <f>"PIEZA 5100 SERIE A Nº 20"</f>
        <v>PIEZA 5100 SERIE A Nº 20</v>
      </c>
      <c r="B1445" s="2">
        <v>21</v>
      </c>
      <c r="C1445" s="2">
        <v>48</v>
      </c>
      <c r="D1445" s="11" t="str">
        <f t="shared" si="32"/>
        <v>UN</v>
      </c>
      <c r="E1445" s="12">
        <v>301.62</v>
      </c>
      <c r="F1445" s="13">
        <v>0</v>
      </c>
      <c r="G1445" s="14" t="s">
        <v>198</v>
      </c>
    </row>
    <row r="1446" spans="1:7" x14ac:dyDescent="0.25">
      <c r="A1446" s="34" t="str">
        <f>"PIEZA 5100 SERIE B Nº 02"</f>
        <v>PIEZA 5100 SERIE B Nº 02</v>
      </c>
      <c r="B1446" s="2">
        <v>21</v>
      </c>
      <c r="C1446" s="2">
        <v>14</v>
      </c>
      <c r="D1446" s="11" t="str">
        <f t="shared" si="32"/>
        <v>UN</v>
      </c>
      <c r="E1446" s="12">
        <v>30.222500000000007</v>
      </c>
      <c r="F1446" s="13">
        <v>0</v>
      </c>
      <c r="G1446" s="14" t="s">
        <v>198</v>
      </c>
    </row>
    <row r="1447" spans="1:7" x14ac:dyDescent="0.25">
      <c r="A1447" s="34" t="str">
        <f>"PIEZA 5100 SERIE B Nº 05"</f>
        <v>PIEZA 5100 SERIE B Nº 05</v>
      </c>
      <c r="B1447" s="2">
        <v>21</v>
      </c>
      <c r="C1447" s="2">
        <v>17</v>
      </c>
      <c r="D1447" s="11" t="str">
        <f t="shared" si="32"/>
        <v>UN</v>
      </c>
      <c r="E1447" s="12">
        <v>13.323750000000002</v>
      </c>
      <c r="F1447" s="13">
        <v>0</v>
      </c>
      <c r="G1447" s="14" t="s">
        <v>198</v>
      </c>
    </row>
    <row r="1448" spans="1:7" x14ac:dyDescent="0.25">
      <c r="A1448" s="34" t="str">
        <f>"PIEZA 5100 SERIE B Nº 06"</f>
        <v>PIEZA 5100 SERIE B Nº 06</v>
      </c>
      <c r="B1448" s="2">
        <v>21</v>
      </c>
      <c r="C1448" s="2">
        <v>4</v>
      </c>
      <c r="D1448" s="11" t="str">
        <f t="shared" si="32"/>
        <v>UN</v>
      </c>
      <c r="E1448" s="12">
        <v>3.1349999999999998</v>
      </c>
      <c r="F1448" s="13">
        <v>0</v>
      </c>
      <c r="G1448" s="14" t="s">
        <v>198</v>
      </c>
    </row>
    <row r="1449" spans="1:7" x14ac:dyDescent="0.25">
      <c r="A1449" s="34" t="str">
        <f>"PIEZA 5100 SERIE B Nº 09"</f>
        <v>PIEZA 5100 SERIE B Nº 09</v>
      </c>
      <c r="B1449" s="2">
        <v>21</v>
      </c>
      <c r="C1449" s="2">
        <v>74</v>
      </c>
      <c r="D1449" s="11" t="str">
        <f t="shared" si="32"/>
        <v>UN</v>
      </c>
      <c r="E1449" s="12">
        <v>275.74250000000001</v>
      </c>
      <c r="F1449" s="13">
        <v>0</v>
      </c>
      <c r="G1449" s="14" t="s">
        <v>198</v>
      </c>
    </row>
    <row r="1450" spans="1:7" x14ac:dyDescent="0.25">
      <c r="A1450" s="34" t="str">
        <f>"PIEZA 5100 SERIE B Nº 12"</f>
        <v>PIEZA 5100 SERIE B Nº 12</v>
      </c>
      <c r="B1450" s="2">
        <v>21</v>
      </c>
      <c r="C1450" s="2">
        <v>1</v>
      </c>
      <c r="D1450" s="11" t="str">
        <f t="shared" si="32"/>
        <v>UN</v>
      </c>
      <c r="E1450" s="12">
        <v>4.3174999999999999</v>
      </c>
      <c r="F1450" s="13">
        <v>0</v>
      </c>
      <c r="G1450" s="14" t="s">
        <v>198</v>
      </c>
    </row>
    <row r="1451" spans="1:7" x14ac:dyDescent="0.25">
      <c r="A1451" s="34" t="str">
        <f>"PIEZA 5100 SERIE B Nº 18"</f>
        <v>PIEZA 5100 SERIE B Nº 18</v>
      </c>
      <c r="B1451" s="2">
        <v>21</v>
      </c>
      <c r="C1451" s="2">
        <v>22</v>
      </c>
      <c r="D1451" s="11" t="str">
        <f t="shared" si="32"/>
        <v>UN</v>
      </c>
      <c r="E1451" s="12">
        <v>77.742500000000007</v>
      </c>
      <c r="F1451" s="13">
        <v>0</v>
      </c>
      <c r="G1451" s="14" t="s">
        <v>198</v>
      </c>
    </row>
    <row r="1452" spans="1:7" x14ac:dyDescent="0.25">
      <c r="A1452" s="34" t="str">
        <f>"PIEZA 5100 SERIE C Nº 08"</f>
        <v>PIEZA 5100 SERIE C Nº 08</v>
      </c>
      <c r="B1452" s="2">
        <v>21</v>
      </c>
      <c r="C1452" s="2">
        <v>10</v>
      </c>
      <c r="D1452" s="11" t="str">
        <f t="shared" si="32"/>
        <v>UN</v>
      </c>
      <c r="E1452" s="12">
        <v>9.7624999999999993</v>
      </c>
      <c r="F1452" s="13">
        <v>0</v>
      </c>
      <c r="G1452" s="14" t="s">
        <v>198</v>
      </c>
    </row>
    <row r="1453" spans="1:7" x14ac:dyDescent="0.25">
      <c r="A1453" s="34" t="str">
        <f>"PIEZA 5180 SERIE A Nº 03"</f>
        <v>PIEZA 5180 SERIE A Nº 03</v>
      </c>
      <c r="B1453" s="2">
        <v>21</v>
      </c>
      <c r="C1453" s="2">
        <v>4</v>
      </c>
      <c r="D1453" s="11" t="str">
        <f t="shared" si="32"/>
        <v>UN</v>
      </c>
      <c r="E1453" s="12">
        <v>12.65</v>
      </c>
      <c r="F1453" s="13">
        <v>0</v>
      </c>
      <c r="G1453" s="14" t="s">
        <v>198</v>
      </c>
    </row>
    <row r="1454" spans="1:7" x14ac:dyDescent="0.25">
      <c r="A1454" s="34" t="str">
        <f>"PIEZA 5180 SERIE A Nº 15"</f>
        <v>PIEZA 5180 SERIE A Nº 15</v>
      </c>
      <c r="B1454" s="2">
        <v>21</v>
      </c>
      <c r="C1454" s="2">
        <v>2</v>
      </c>
      <c r="D1454" s="11" t="str">
        <f t="shared" si="32"/>
        <v>UN</v>
      </c>
      <c r="E1454" s="12">
        <v>5.5000000000000009</v>
      </c>
      <c r="F1454" s="13">
        <v>0</v>
      </c>
      <c r="G1454" s="14" t="s">
        <v>198</v>
      </c>
    </row>
    <row r="1455" spans="1:7" x14ac:dyDescent="0.25">
      <c r="A1455" s="34" t="str">
        <f>"PIEZA 5180 SERIE A Nº 17"</f>
        <v>PIEZA 5180 SERIE A Nº 17</v>
      </c>
      <c r="B1455" s="2">
        <v>21</v>
      </c>
      <c r="C1455" s="2">
        <v>4</v>
      </c>
      <c r="D1455" s="11" t="str">
        <f t="shared" si="32"/>
        <v>UN</v>
      </c>
      <c r="E1455" s="12">
        <v>6.6</v>
      </c>
      <c r="F1455" s="13">
        <v>0</v>
      </c>
      <c r="G1455" s="14" t="s">
        <v>198</v>
      </c>
    </row>
    <row r="1456" spans="1:7" x14ac:dyDescent="0.25">
      <c r="A1456" s="34" t="str">
        <f>"PIEZA 5200 SERIE B Nº 02"</f>
        <v>PIEZA 5200 SERIE B Nº 02</v>
      </c>
      <c r="B1456" s="2">
        <v>21</v>
      </c>
      <c r="C1456" s="2">
        <v>3</v>
      </c>
      <c r="D1456" s="11" t="str">
        <f t="shared" si="32"/>
        <v>UN</v>
      </c>
      <c r="E1456" s="12">
        <v>14.148750000000003</v>
      </c>
      <c r="F1456" s="13">
        <v>0</v>
      </c>
      <c r="G1456" s="14" t="s">
        <v>198</v>
      </c>
    </row>
    <row r="1457" spans="1:7" x14ac:dyDescent="0.25">
      <c r="A1457" s="34" t="str">
        <f>"PIEZA 5200 SERIE B Nº 06"</f>
        <v>PIEZA 5200 SERIE B Nº 06</v>
      </c>
      <c r="B1457" s="2">
        <v>21</v>
      </c>
      <c r="C1457" s="2">
        <v>4</v>
      </c>
      <c r="D1457" s="11" t="str">
        <f t="shared" si="32"/>
        <v>UN</v>
      </c>
      <c r="E1457" s="12">
        <v>46.365000000000002</v>
      </c>
      <c r="F1457" s="13">
        <v>0</v>
      </c>
      <c r="G1457" s="14" t="s">
        <v>198</v>
      </c>
    </row>
    <row r="1458" spans="1:7" x14ac:dyDescent="0.25">
      <c r="A1458" s="34" t="str">
        <f>"PIEZA 5200 SERIE B Nº 07"</f>
        <v>PIEZA 5200 SERIE B Nº 07</v>
      </c>
      <c r="B1458" s="2">
        <v>21</v>
      </c>
      <c r="C1458" s="2">
        <v>5</v>
      </c>
      <c r="D1458" s="11" t="str">
        <f t="shared" si="32"/>
        <v>UN</v>
      </c>
      <c r="E1458" s="12">
        <v>57.956250000000004</v>
      </c>
      <c r="F1458" s="13">
        <v>0</v>
      </c>
      <c r="G1458" s="14" t="s">
        <v>198</v>
      </c>
    </row>
    <row r="1459" spans="1:7" x14ac:dyDescent="0.25">
      <c r="A1459" s="34" t="str">
        <f>"PIEZA 5200 SERIE B Nº 10"</f>
        <v>PIEZA 5200 SERIE B Nº 10</v>
      </c>
      <c r="B1459" s="2">
        <v>21</v>
      </c>
      <c r="C1459" s="2">
        <v>9</v>
      </c>
      <c r="D1459" s="11" t="str">
        <f t="shared" si="32"/>
        <v>UN</v>
      </c>
      <c r="E1459" s="12">
        <v>8.786249999999999</v>
      </c>
      <c r="F1459" s="13">
        <v>0</v>
      </c>
      <c r="G1459" s="14" t="s">
        <v>198</v>
      </c>
    </row>
    <row r="1460" spans="1:7" x14ac:dyDescent="0.25">
      <c r="A1460" s="34" t="str">
        <f>"PIEZA 5605 SERIE A Nº 04"</f>
        <v>PIEZA 5605 SERIE A Nº 04</v>
      </c>
      <c r="B1460" s="2">
        <v>21</v>
      </c>
      <c r="C1460" s="2">
        <v>1</v>
      </c>
      <c r="D1460" s="11" t="str">
        <f t="shared" si="32"/>
        <v>UN</v>
      </c>
      <c r="E1460" s="12">
        <v>0.61875000000000013</v>
      </c>
      <c r="F1460" s="13">
        <v>0</v>
      </c>
      <c r="G1460" s="14" t="s">
        <v>198</v>
      </c>
    </row>
    <row r="1461" spans="1:7" x14ac:dyDescent="0.25">
      <c r="A1461" s="34" t="str">
        <f>"PIEZA 5610 SERIE NC Nº 12"</f>
        <v>PIEZA 5610 SERIE NC Nº 12</v>
      </c>
      <c r="B1461" s="2">
        <v>21</v>
      </c>
      <c r="C1461" s="2">
        <v>2</v>
      </c>
      <c r="D1461" s="11" t="str">
        <f t="shared" si="32"/>
        <v>UN</v>
      </c>
      <c r="E1461" s="12">
        <v>71.775000000000006</v>
      </c>
      <c r="F1461" s="13">
        <v>0</v>
      </c>
      <c r="G1461" s="14" t="s">
        <v>198</v>
      </c>
    </row>
    <row r="1462" spans="1:7" x14ac:dyDescent="0.25">
      <c r="A1462" s="34" t="str">
        <f>"PIEZA 5615 SERIE B Nº 09"</f>
        <v>PIEZA 5615 SERIE B Nº 09</v>
      </c>
      <c r="B1462" s="2">
        <v>21</v>
      </c>
      <c r="C1462" s="2">
        <v>1</v>
      </c>
      <c r="D1462" s="11" t="str">
        <f t="shared" si="32"/>
        <v>UN</v>
      </c>
      <c r="E1462" s="12">
        <v>3.9187500000000006</v>
      </c>
      <c r="F1462" s="13">
        <v>0</v>
      </c>
      <c r="G1462" s="14" t="s">
        <v>198</v>
      </c>
    </row>
    <row r="1463" spans="1:7" x14ac:dyDescent="0.25">
      <c r="A1463" s="34" t="str">
        <f>"PIEZA 6050 SERIE A Nº 02"</f>
        <v>PIEZA 6050 SERIE A Nº 02</v>
      </c>
      <c r="B1463" s="2">
        <v>21</v>
      </c>
      <c r="C1463" s="2">
        <v>8</v>
      </c>
      <c r="D1463" s="11" t="str">
        <f t="shared" si="32"/>
        <v>UN</v>
      </c>
      <c r="E1463" s="12">
        <v>4.7300000000000004</v>
      </c>
      <c r="F1463" s="13">
        <v>0</v>
      </c>
      <c r="G1463" s="14" t="s">
        <v>198</v>
      </c>
    </row>
    <row r="1464" spans="1:7" x14ac:dyDescent="0.25">
      <c r="A1464" s="34" t="str">
        <f>"PIEZA 6050 SERIE A Nº 03"</f>
        <v>PIEZA 6050 SERIE A Nº 03</v>
      </c>
      <c r="B1464" s="2">
        <v>21</v>
      </c>
      <c r="C1464" s="2">
        <v>1</v>
      </c>
      <c r="D1464" s="11" t="str">
        <f t="shared" si="32"/>
        <v>UN</v>
      </c>
      <c r="E1464" s="12">
        <v>0.59125000000000005</v>
      </c>
      <c r="F1464" s="13">
        <v>0</v>
      </c>
      <c r="G1464" s="14" t="s">
        <v>198</v>
      </c>
    </row>
    <row r="1465" spans="1:7" x14ac:dyDescent="0.25">
      <c r="A1465" s="34" t="str">
        <f>"PIEZA 6050 SERIE A Nº 05"</f>
        <v>PIEZA 6050 SERIE A Nº 05</v>
      </c>
      <c r="B1465" s="2">
        <v>21</v>
      </c>
      <c r="C1465" s="2">
        <v>10</v>
      </c>
      <c r="D1465" s="11" t="str">
        <f t="shared" si="32"/>
        <v>UN</v>
      </c>
      <c r="E1465" s="12">
        <v>5.9125000000000005</v>
      </c>
      <c r="F1465" s="13">
        <v>0</v>
      </c>
      <c r="G1465" s="14" t="s">
        <v>198</v>
      </c>
    </row>
    <row r="1466" spans="1:7" x14ac:dyDescent="0.25">
      <c r="A1466" s="34" t="str">
        <f>"PIEZA 6050 SERIE A Nº 06"</f>
        <v>PIEZA 6050 SERIE A Nº 06</v>
      </c>
      <c r="B1466" s="2">
        <v>21</v>
      </c>
      <c r="C1466" s="2">
        <v>13</v>
      </c>
      <c r="D1466" s="11" t="str">
        <f t="shared" si="32"/>
        <v>UN</v>
      </c>
      <c r="E1466" s="12">
        <v>38.252500000000005</v>
      </c>
      <c r="F1466" s="13">
        <v>0</v>
      </c>
      <c r="G1466" s="14" t="s">
        <v>198</v>
      </c>
    </row>
    <row r="1467" spans="1:7" x14ac:dyDescent="0.25">
      <c r="A1467" s="34" t="str">
        <f>"PIEZA 6050 SERIE A Nº 09"</f>
        <v>PIEZA 6050 SERIE A Nº 09</v>
      </c>
      <c r="B1467" s="2">
        <v>21</v>
      </c>
      <c r="C1467" s="2">
        <v>22</v>
      </c>
      <c r="D1467" s="11" t="str">
        <f t="shared" si="32"/>
        <v>UN</v>
      </c>
      <c r="E1467" s="12">
        <v>64.735000000000028</v>
      </c>
      <c r="F1467" s="13">
        <v>0</v>
      </c>
      <c r="G1467" s="14" t="s">
        <v>198</v>
      </c>
    </row>
    <row r="1468" spans="1:7" x14ac:dyDescent="0.25">
      <c r="A1468" s="34" t="str">
        <f>"PIEZA 6050 SERIE A Nº 11"</f>
        <v>PIEZA 6050 SERIE A Nº 11</v>
      </c>
      <c r="B1468" s="2">
        <v>21</v>
      </c>
      <c r="C1468" s="2">
        <v>25</v>
      </c>
      <c r="D1468" s="11" t="str">
        <f t="shared" si="32"/>
        <v>UN</v>
      </c>
      <c r="E1468" s="12">
        <v>14.781250000000004</v>
      </c>
      <c r="F1468" s="13">
        <v>0</v>
      </c>
      <c r="G1468" s="14" t="s">
        <v>198</v>
      </c>
    </row>
    <row r="1469" spans="1:7" x14ac:dyDescent="0.25">
      <c r="A1469" s="34" t="str">
        <f>"PIEZA 6050 SERIE A Nº 20"</f>
        <v>PIEZA 6050 SERIE A Nº 20</v>
      </c>
      <c r="B1469" s="2">
        <v>21</v>
      </c>
      <c r="C1469" s="2">
        <v>15</v>
      </c>
      <c r="D1469" s="11" t="str">
        <f t="shared" si="32"/>
        <v>UN</v>
      </c>
      <c r="E1469" s="12">
        <v>8.8687500000000021</v>
      </c>
      <c r="F1469" s="13">
        <v>0</v>
      </c>
      <c r="G1469" s="14" t="s">
        <v>198</v>
      </c>
    </row>
    <row r="1470" spans="1:7" x14ac:dyDescent="0.25">
      <c r="A1470" s="34" t="str">
        <f>"PIEZA 6050 SERIE A Nº 24"</f>
        <v>PIEZA 6050 SERIE A Nº 24</v>
      </c>
      <c r="B1470" s="2">
        <v>21</v>
      </c>
      <c r="C1470" s="2">
        <v>58</v>
      </c>
      <c r="D1470" s="11" t="str">
        <f t="shared" si="32"/>
        <v>UN</v>
      </c>
      <c r="E1470" s="12">
        <v>56.622500000000002</v>
      </c>
      <c r="F1470" s="13">
        <v>0</v>
      </c>
      <c r="G1470" s="14" t="s">
        <v>198</v>
      </c>
    </row>
    <row r="1471" spans="1:7" x14ac:dyDescent="0.25">
      <c r="A1471" s="34" t="str">
        <f>"PIEZA 6050 SERIE A Nº 25"</f>
        <v>PIEZA 6050 SERIE A Nº 25</v>
      </c>
      <c r="B1471" s="2">
        <v>21</v>
      </c>
      <c r="C1471" s="2">
        <v>10</v>
      </c>
      <c r="D1471" s="11" t="str">
        <f t="shared" si="32"/>
        <v>UN</v>
      </c>
      <c r="E1471" s="12">
        <v>134.0625</v>
      </c>
      <c r="F1471" s="13">
        <v>0</v>
      </c>
      <c r="G1471" s="14" t="s">
        <v>198</v>
      </c>
    </row>
    <row r="1472" spans="1:7" x14ac:dyDescent="0.25">
      <c r="A1472" s="34" t="str">
        <f>"PIEZA 6050 SERIE A Nº 26"</f>
        <v>PIEZA 6050 SERIE A Nº 26</v>
      </c>
      <c r="B1472" s="2">
        <v>21</v>
      </c>
      <c r="C1472" s="2">
        <v>3</v>
      </c>
      <c r="D1472" s="11" t="str">
        <f t="shared" si="32"/>
        <v>UN</v>
      </c>
      <c r="E1472" s="12">
        <v>10.023750000000001</v>
      </c>
      <c r="F1472" s="13">
        <v>0</v>
      </c>
      <c r="G1472" s="14" t="s">
        <v>198</v>
      </c>
    </row>
    <row r="1473" spans="1:7" x14ac:dyDescent="0.25">
      <c r="A1473" s="34" t="str">
        <f>"PIEZA 6050 SERIE A Nº 29"</f>
        <v>PIEZA 6050 SERIE A Nº 29</v>
      </c>
      <c r="B1473" s="2">
        <v>21</v>
      </c>
      <c r="C1473" s="2">
        <v>4</v>
      </c>
      <c r="D1473" s="11" t="str">
        <f t="shared" si="32"/>
        <v>UN</v>
      </c>
      <c r="E1473" s="12">
        <v>198.77</v>
      </c>
      <c r="F1473" s="13">
        <v>0</v>
      </c>
      <c r="G1473" s="14" t="s">
        <v>198</v>
      </c>
    </row>
    <row r="1474" spans="1:7" x14ac:dyDescent="0.25">
      <c r="A1474" s="34" t="str">
        <f>"PIEZA 6050 SERIE A Nº 33"</f>
        <v>PIEZA 6050 SERIE A Nº 33</v>
      </c>
      <c r="B1474" s="2">
        <v>21</v>
      </c>
      <c r="C1474" s="2">
        <v>13</v>
      </c>
      <c r="D1474" s="11" t="str">
        <f t="shared" si="32"/>
        <v>UN</v>
      </c>
      <c r="E1474" s="12">
        <v>130.30875</v>
      </c>
      <c r="F1474" s="13">
        <v>0</v>
      </c>
      <c r="G1474" s="14" t="s">
        <v>198</v>
      </c>
    </row>
    <row r="1475" spans="1:7" x14ac:dyDescent="0.25">
      <c r="A1475" s="34" t="str">
        <f>"PIEZA 6050 SERIE A Nº 38"</f>
        <v>PIEZA 6050 SERIE A Nº 38</v>
      </c>
      <c r="B1475" s="2">
        <v>21</v>
      </c>
      <c r="C1475" s="2">
        <v>17</v>
      </c>
      <c r="D1475" s="11" t="str">
        <f t="shared" si="32"/>
        <v>UN</v>
      </c>
      <c r="E1475" s="12">
        <v>10.05125</v>
      </c>
      <c r="F1475" s="13">
        <v>0</v>
      </c>
      <c r="G1475" s="14" t="s">
        <v>198</v>
      </c>
    </row>
    <row r="1476" spans="1:7" x14ac:dyDescent="0.25">
      <c r="A1476" s="34" t="str">
        <f>"PIEZA 6050 SERIE A Nº 39"</f>
        <v>PIEZA 6050 SERIE A Nº 39</v>
      </c>
      <c r="B1476" s="2">
        <v>21</v>
      </c>
      <c r="C1476" s="2">
        <v>24</v>
      </c>
      <c r="D1476" s="11" t="str">
        <f t="shared" si="32"/>
        <v>UN</v>
      </c>
      <c r="E1476" s="12">
        <v>47.19</v>
      </c>
      <c r="F1476" s="13">
        <v>0</v>
      </c>
      <c r="G1476" s="14" t="s">
        <v>198</v>
      </c>
    </row>
    <row r="1477" spans="1:7" x14ac:dyDescent="0.25">
      <c r="A1477" s="34" t="str">
        <f>"PIEZA 6050 SERIE A Nº 40"</f>
        <v>PIEZA 6050 SERIE A Nº 40</v>
      </c>
      <c r="B1477" s="2">
        <v>21</v>
      </c>
      <c r="C1477" s="2">
        <v>7</v>
      </c>
      <c r="D1477" s="11" t="str">
        <f t="shared" si="32"/>
        <v>UN</v>
      </c>
      <c r="E1477" s="12">
        <v>20.5975</v>
      </c>
      <c r="F1477" s="13">
        <v>0</v>
      </c>
      <c r="G1477" s="14" t="s">
        <v>198</v>
      </c>
    </row>
    <row r="1478" spans="1:7" x14ac:dyDescent="0.25">
      <c r="A1478" s="34" t="str">
        <f>"PIEZA 6050 SERIE A Nº 41"</f>
        <v>PIEZA 6050 SERIE A Nº 41</v>
      </c>
      <c r="B1478" s="2">
        <v>21</v>
      </c>
      <c r="C1478" s="2">
        <v>10</v>
      </c>
      <c r="D1478" s="11" t="str">
        <f t="shared" si="32"/>
        <v>UN</v>
      </c>
      <c r="E1478" s="12">
        <v>19.662499999999998</v>
      </c>
      <c r="F1478" s="13">
        <v>0</v>
      </c>
      <c r="G1478" s="14" t="s">
        <v>198</v>
      </c>
    </row>
    <row r="1479" spans="1:7" x14ac:dyDescent="0.25">
      <c r="A1479" s="34" t="str">
        <f>"PIEZA 6050 SERIE A Nº 42"</f>
        <v>PIEZA 6050 SERIE A Nº 42</v>
      </c>
      <c r="B1479" s="2">
        <v>21</v>
      </c>
      <c r="C1479" s="2">
        <v>19</v>
      </c>
      <c r="D1479" s="11" t="str">
        <f t="shared" si="32"/>
        <v>UN</v>
      </c>
      <c r="E1479" s="12">
        <v>37.358750000000001</v>
      </c>
      <c r="F1479" s="13">
        <v>0</v>
      </c>
      <c r="G1479" s="14" t="s">
        <v>198</v>
      </c>
    </row>
    <row r="1480" spans="1:7" x14ac:dyDescent="0.25">
      <c r="A1480" s="34" t="str">
        <f>"PIEZA 6050 SERIE A Nº 45"</f>
        <v>PIEZA 6050 SERIE A Nº 45</v>
      </c>
      <c r="B1480" s="2">
        <v>21</v>
      </c>
      <c r="C1480" s="2">
        <v>7</v>
      </c>
      <c r="D1480" s="11" t="str">
        <f t="shared" si="32"/>
        <v>UN</v>
      </c>
      <c r="E1480" s="12">
        <v>40.425000000000004</v>
      </c>
      <c r="F1480" s="13">
        <v>0</v>
      </c>
      <c r="G1480" s="14" t="s">
        <v>198</v>
      </c>
    </row>
    <row r="1481" spans="1:7" x14ac:dyDescent="0.25">
      <c r="A1481" s="34" t="str">
        <f>"PIEZA 6050 SERIE B Nº 10"</f>
        <v>PIEZA 6050 SERIE B Nº 10</v>
      </c>
      <c r="B1481" s="2">
        <v>21</v>
      </c>
      <c r="C1481" s="2">
        <v>15</v>
      </c>
      <c r="D1481" s="11" t="str">
        <f t="shared" si="32"/>
        <v>UN</v>
      </c>
      <c r="E1481" s="12">
        <v>14.643749999999999</v>
      </c>
      <c r="F1481" s="13">
        <v>0</v>
      </c>
      <c r="G1481" s="14" t="s">
        <v>198</v>
      </c>
    </row>
    <row r="1482" spans="1:7" x14ac:dyDescent="0.25">
      <c r="A1482" s="34" t="str">
        <f>"PIEZA 6050 SERIE B Nº 12"</f>
        <v>PIEZA 6050 SERIE B Nº 12</v>
      </c>
      <c r="B1482" s="2">
        <v>21</v>
      </c>
      <c r="C1482" s="2">
        <v>5</v>
      </c>
      <c r="D1482" s="11" t="str">
        <f t="shared" ref="D1482:D1545" si="33">"UN"</f>
        <v>UN</v>
      </c>
      <c r="E1482" s="12">
        <v>2.9562500000000007</v>
      </c>
      <c r="F1482" s="13">
        <v>0</v>
      </c>
      <c r="G1482" s="14" t="s">
        <v>198</v>
      </c>
    </row>
    <row r="1483" spans="1:7" x14ac:dyDescent="0.25">
      <c r="A1483" s="34" t="str">
        <f>"PIEZA 6050 SERIE B Nº 16"</f>
        <v>PIEZA 6050 SERIE B Nº 16</v>
      </c>
      <c r="B1483" s="2">
        <v>21</v>
      </c>
      <c r="C1483" s="2">
        <v>10</v>
      </c>
      <c r="D1483" s="11" t="str">
        <f t="shared" si="33"/>
        <v>UN</v>
      </c>
      <c r="E1483" s="12">
        <v>127.7375</v>
      </c>
      <c r="F1483" s="13">
        <v>0</v>
      </c>
      <c r="G1483" s="14" t="s">
        <v>198</v>
      </c>
    </row>
    <row r="1484" spans="1:7" x14ac:dyDescent="0.25">
      <c r="A1484" s="34" t="str">
        <f>"PIEZA 6050 SERIE B Nº 18"</f>
        <v>PIEZA 6050 SERIE B Nº 18</v>
      </c>
      <c r="B1484" s="2">
        <v>21</v>
      </c>
      <c r="C1484" s="2">
        <v>7</v>
      </c>
      <c r="D1484" s="11" t="str">
        <f t="shared" si="33"/>
        <v>UN</v>
      </c>
      <c r="E1484" s="12">
        <v>141.58375000000004</v>
      </c>
      <c r="F1484" s="13">
        <v>0</v>
      </c>
      <c r="G1484" s="14" t="s">
        <v>198</v>
      </c>
    </row>
    <row r="1485" spans="1:7" x14ac:dyDescent="0.25">
      <c r="A1485" s="34" t="str">
        <f>"PIEZA 6050 SERIE B Nº 21"</f>
        <v>PIEZA 6050 SERIE B Nº 21</v>
      </c>
      <c r="B1485" s="2">
        <v>21</v>
      </c>
      <c r="C1485" s="2">
        <v>9</v>
      </c>
      <c r="D1485" s="11" t="str">
        <f t="shared" si="33"/>
        <v>UN</v>
      </c>
      <c r="E1485" s="12">
        <v>8.786249999999999</v>
      </c>
      <c r="F1485" s="13">
        <v>0</v>
      </c>
      <c r="G1485" s="14" t="s">
        <v>198</v>
      </c>
    </row>
    <row r="1486" spans="1:7" x14ac:dyDescent="0.25">
      <c r="A1486" s="34" t="str">
        <f>"PIEZA 6050 SERIE B Nº 22"</f>
        <v>PIEZA 6050 SERIE B Nº 22</v>
      </c>
      <c r="B1486" s="2">
        <v>21</v>
      </c>
      <c r="C1486" s="2">
        <v>38</v>
      </c>
      <c r="D1486" s="11" t="str">
        <f t="shared" si="33"/>
        <v>UN</v>
      </c>
      <c r="E1486" s="12">
        <v>111.81500000000004</v>
      </c>
      <c r="F1486" s="13">
        <v>0</v>
      </c>
      <c r="G1486" s="14" t="s">
        <v>198</v>
      </c>
    </row>
    <row r="1487" spans="1:7" x14ac:dyDescent="0.25">
      <c r="A1487" s="34" t="str">
        <f>"PIEZA 6050 SERIE B Nº 23"</f>
        <v>PIEZA 6050 SERIE B Nº 23</v>
      </c>
      <c r="B1487" s="2">
        <v>21</v>
      </c>
      <c r="C1487" s="2">
        <v>4</v>
      </c>
      <c r="D1487" s="11" t="str">
        <f t="shared" si="33"/>
        <v>UN</v>
      </c>
      <c r="E1487" s="12">
        <v>156.36500000000001</v>
      </c>
      <c r="F1487" s="13">
        <v>0</v>
      </c>
      <c r="G1487" s="14" t="s">
        <v>198</v>
      </c>
    </row>
    <row r="1488" spans="1:7" x14ac:dyDescent="0.25">
      <c r="A1488" s="34" t="str">
        <f>"PIEZA 6050 SERIE B Nº 27"</f>
        <v>PIEZA 6050 SERIE B Nº 27</v>
      </c>
      <c r="B1488" s="2">
        <v>21</v>
      </c>
      <c r="C1488" s="2">
        <v>14</v>
      </c>
      <c r="D1488" s="11" t="str">
        <f t="shared" si="33"/>
        <v>UN</v>
      </c>
      <c r="E1488" s="12">
        <v>5.5825000000000005</v>
      </c>
      <c r="F1488" s="13">
        <v>0</v>
      </c>
      <c r="G1488" s="14" t="s">
        <v>198</v>
      </c>
    </row>
    <row r="1489" spans="1:7" x14ac:dyDescent="0.25">
      <c r="A1489" s="34" t="str">
        <f>"PIEZA 6050 SERIE B Nº 30"</f>
        <v>PIEZA 6050 SERIE B Nº 30</v>
      </c>
      <c r="B1489" s="2">
        <v>21</v>
      </c>
      <c r="C1489" s="2">
        <v>48</v>
      </c>
      <c r="D1489" s="11" t="str">
        <f t="shared" si="33"/>
        <v>UN</v>
      </c>
      <c r="E1489" s="12">
        <v>46.859999999999992</v>
      </c>
      <c r="F1489" s="13">
        <v>0</v>
      </c>
      <c r="G1489" s="14" t="s">
        <v>198</v>
      </c>
    </row>
    <row r="1490" spans="1:7" x14ac:dyDescent="0.25">
      <c r="A1490" s="34" t="str">
        <f>"PIEZA 6050 SERIE B Nº 32"</f>
        <v>PIEZA 6050 SERIE B Nº 32</v>
      </c>
      <c r="B1490" s="2">
        <v>21</v>
      </c>
      <c r="C1490" s="2">
        <v>27</v>
      </c>
      <c r="D1490" s="11" t="str">
        <f t="shared" si="33"/>
        <v>UN</v>
      </c>
      <c r="E1490" s="12">
        <v>53.088750000000012</v>
      </c>
      <c r="F1490" s="13">
        <v>0</v>
      </c>
      <c r="G1490" s="14" t="s">
        <v>198</v>
      </c>
    </row>
    <row r="1491" spans="1:7" x14ac:dyDescent="0.25">
      <c r="A1491" s="34" t="str">
        <f>"PIEZA 6050 SERIE B Nº 34-1"</f>
        <v>PIEZA 6050 SERIE B Nº 34-1</v>
      </c>
      <c r="B1491" s="2">
        <v>21</v>
      </c>
      <c r="C1491" s="2">
        <v>7</v>
      </c>
      <c r="D1491" s="11" t="str">
        <f t="shared" si="33"/>
        <v>UN</v>
      </c>
      <c r="E1491" s="12">
        <v>26.46875</v>
      </c>
      <c r="F1491" s="13">
        <v>0</v>
      </c>
      <c r="G1491" s="14" t="s">
        <v>198</v>
      </c>
    </row>
    <row r="1492" spans="1:7" x14ac:dyDescent="0.25">
      <c r="A1492" s="34" t="str">
        <f>"PIEZA 6050 SERIE B Nº 43"</f>
        <v>PIEZA 6050 SERIE B Nº 43</v>
      </c>
      <c r="B1492" s="2">
        <v>21</v>
      </c>
      <c r="C1492" s="2">
        <v>27</v>
      </c>
      <c r="D1492" s="11" t="str">
        <f t="shared" si="33"/>
        <v>UN</v>
      </c>
      <c r="E1492" s="12">
        <v>53.088750000000005</v>
      </c>
      <c r="F1492" s="13">
        <v>0</v>
      </c>
      <c r="G1492" s="14" t="s">
        <v>198</v>
      </c>
    </row>
    <row r="1493" spans="1:7" x14ac:dyDescent="0.25">
      <c r="A1493" s="34" t="str">
        <f>"PIEZA 6050 SERIE B Nº 46"</f>
        <v>PIEZA 6050 SERIE B Nº 46</v>
      </c>
      <c r="B1493" s="2">
        <v>21</v>
      </c>
      <c r="C1493" s="2">
        <v>34</v>
      </c>
      <c r="D1493" s="11" t="str">
        <f t="shared" si="33"/>
        <v>UN</v>
      </c>
      <c r="E1493" s="12">
        <v>33.19250000000001</v>
      </c>
      <c r="F1493" s="13">
        <v>0</v>
      </c>
      <c r="G1493" s="14" t="s">
        <v>198</v>
      </c>
    </row>
    <row r="1494" spans="1:7" x14ac:dyDescent="0.25">
      <c r="A1494" s="34" t="str">
        <f>"PIEZA 6050 SERIE B Nº 47"</f>
        <v>PIEZA 6050 SERIE B Nº 47</v>
      </c>
      <c r="B1494" s="2">
        <v>21</v>
      </c>
      <c r="C1494" s="2">
        <v>22</v>
      </c>
      <c r="D1494" s="11" t="str">
        <f t="shared" si="33"/>
        <v>UN</v>
      </c>
      <c r="E1494" s="12">
        <v>21.477499999999999</v>
      </c>
      <c r="F1494" s="13">
        <v>0</v>
      </c>
      <c r="G1494" s="14" t="s">
        <v>198</v>
      </c>
    </row>
    <row r="1495" spans="1:7" x14ac:dyDescent="0.25">
      <c r="A1495" s="34" t="str">
        <f>"PIEZA 6050 SERIE B Nº 48"</f>
        <v>PIEZA 6050 SERIE B Nº 48</v>
      </c>
      <c r="B1495" s="2">
        <v>21</v>
      </c>
      <c r="C1495" s="2">
        <v>33</v>
      </c>
      <c r="D1495" s="11" t="str">
        <f t="shared" si="33"/>
        <v>UN</v>
      </c>
      <c r="E1495" s="12">
        <v>32.216250000000002</v>
      </c>
      <c r="F1495" s="13">
        <v>0</v>
      </c>
      <c r="G1495" s="14" t="s">
        <v>198</v>
      </c>
    </row>
    <row r="1496" spans="1:7" x14ac:dyDescent="0.25">
      <c r="A1496" s="34" t="str">
        <f>"PIEZA 6050 SERIE B Nº 49"</f>
        <v>PIEZA 6050 SERIE B Nº 49</v>
      </c>
      <c r="B1496" s="2">
        <v>21</v>
      </c>
      <c r="C1496" s="2">
        <v>4</v>
      </c>
      <c r="D1496" s="11" t="str">
        <f t="shared" si="33"/>
        <v>UN</v>
      </c>
      <c r="E1496" s="12">
        <v>3.9050000000000002</v>
      </c>
      <c r="F1496" s="13">
        <v>0</v>
      </c>
      <c r="G1496" s="14" t="s">
        <v>198</v>
      </c>
    </row>
    <row r="1497" spans="1:7" x14ac:dyDescent="0.25">
      <c r="A1497" s="34" t="str">
        <f>"PIEZA 6050 SERIE C Nº 07"</f>
        <v>PIEZA 6050 SERIE C Nº 07</v>
      </c>
      <c r="B1497" s="2">
        <v>21</v>
      </c>
      <c r="C1497" s="2">
        <v>2</v>
      </c>
      <c r="D1497" s="11" t="str">
        <f t="shared" si="33"/>
        <v>UN</v>
      </c>
      <c r="E1497" s="12">
        <v>5.6374999999999993</v>
      </c>
      <c r="F1497" s="13">
        <v>0</v>
      </c>
      <c r="G1497" s="14" t="s">
        <v>198</v>
      </c>
    </row>
    <row r="1498" spans="1:7" x14ac:dyDescent="0.25">
      <c r="A1498" s="34" t="str">
        <f>"PIEZA 6050 SERIE C Nº 08"</f>
        <v>PIEZA 6050 SERIE C Nº 08</v>
      </c>
      <c r="B1498" s="2">
        <v>21</v>
      </c>
      <c r="C1498" s="2">
        <v>10</v>
      </c>
      <c r="D1498" s="11" t="str">
        <f t="shared" si="33"/>
        <v>UN</v>
      </c>
      <c r="E1498" s="12">
        <v>6.8750000000000018</v>
      </c>
      <c r="F1498" s="13">
        <v>0</v>
      </c>
      <c r="G1498" s="14" t="s">
        <v>198</v>
      </c>
    </row>
    <row r="1499" spans="1:7" x14ac:dyDescent="0.25">
      <c r="A1499" s="34" t="str">
        <f>"PIEZA 6050 SERIE C Nº 15"</f>
        <v>PIEZA 6050 SERIE C Nº 15</v>
      </c>
      <c r="B1499" s="2">
        <v>21</v>
      </c>
      <c r="C1499" s="2">
        <v>5</v>
      </c>
      <c r="D1499" s="11" t="str">
        <f t="shared" si="33"/>
        <v>UN</v>
      </c>
      <c r="E1499" s="12">
        <v>19.59375</v>
      </c>
      <c r="F1499" s="13">
        <v>0</v>
      </c>
      <c r="G1499" s="14" t="s">
        <v>198</v>
      </c>
    </row>
    <row r="1500" spans="1:7" x14ac:dyDescent="0.25">
      <c r="A1500" s="34" t="str">
        <f>"PIEZA 6050 SERIE C Nº 16"</f>
        <v>PIEZA 6050 SERIE C Nº 16</v>
      </c>
      <c r="B1500" s="2">
        <v>21</v>
      </c>
      <c r="C1500" s="2">
        <v>1</v>
      </c>
      <c r="D1500" s="11" t="str">
        <f t="shared" si="33"/>
        <v>UN</v>
      </c>
      <c r="E1500" s="12">
        <v>7.0812500000000016</v>
      </c>
      <c r="F1500" s="13">
        <v>0</v>
      </c>
      <c r="G1500" s="14" t="s">
        <v>198</v>
      </c>
    </row>
    <row r="1501" spans="1:7" x14ac:dyDescent="0.25">
      <c r="A1501" s="34" t="str">
        <f>"PIEZA 6050 SERIE C Nº 28"</f>
        <v>PIEZA 6050 SERIE C Nº 28</v>
      </c>
      <c r="B1501" s="2">
        <v>21</v>
      </c>
      <c r="C1501" s="2">
        <v>3</v>
      </c>
      <c r="D1501" s="11" t="str">
        <f t="shared" si="33"/>
        <v>UN</v>
      </c>
      <c r="E1501" s="12">
        <v>59.399999999999991</v>
      </c>
      <c r="F1501" s="13">
        <v>0</v>
      </c>
      <c r="G1501" s="14" t="s">
        <v>198</v>
      </c>
    </row>
    <row r="1502" spans="1:7" x14ac:dyDescent="0.25">
      <c r="A1502" s="34" t="str">
        <f>"PIEZA 6050 SERIE C Nº 36"</f>
        <v>PIEZA 6050 SERIE C Nº 36</v>
      </c>
      <c r="B1502" s="2">
        <v>21</v>
      </c>
      <c r="C1502" s="2">
        <v>6</v>
      </c>
      <c r="D1502" s="11" t="str">
        <f t="shared" si="33"/>
        <v>UN</v>
      </c>
      <c r="E1502" s="12">
        <v>7.012500000000002</v>
      </c>
      <c r="F1502" s="13">
        <v>0</v>
      </c>
      <c r="G1502" s="14" t="s">
        <v>198</v>
      </c>
    </row>
    <row r="1503" spans="1:7" x14ac:dyDescent="0.25">
      <c r="A1503" s="34" t="str">
        <f>"PIEZA 6060 SERIE A Nº 01"</f>
        <v>PIEZA 6060 SERIE A Nº 01</v>
      </c>
      <c r="B1503" s="2">
        <v>21</v>
      </c>
      <c r="C1503" s="2">
        <v>4</v>
      </c>
      <c r="D1503" s="11" t="str">
        <f t="shared" si="33"/>
        <v>UN</v>
      </c>
      <c r="E1503" s="12">
        <v>282.09500000000003</v>
      </c>
      <c r="F1503" s="13">
        <v>0</v>
      </c>
      <c r="G1503" s="14" t="s">
        <v>198</v>
      </c>
    </row>
    <row r="1504" spans="1:7" x14ac:dyDescent="0.25">
      <c r="A1504" s="34" t="str">
        <f>"PIEZA 6060 SERIE A Nº 02"</f>
        <v>PIEZA 6060 SERIE A Nº 02</v>
      </c>
      <c r="B1504" s="2">
        <v>21</v>
      </c>
      <c r="C1504" s="2">
        <v>27</v>
      </c>
      <c r="D1504" s="11" t="str">
        <f t="shared" si="33"/>
        <v>UN</v>
      </c>
      <c r="E1504" s="12">
        <v>42.322500000000005</v>
      </c>
      <c r="F1504" s="13">
        <v>0</v>
      </c>
      <c r="G1504" s="14" t="s">
        <v>198</v>
      </c>
    </row>
    <row r="1505" spans="1:7" x14ac:dyDescent="0.25">
      <c r="A1505" s="34" t="str">
        <f>"PIEZA 6060 SERIE A Nº 04"</f>
        <v>PIEZA 6060 SERIE A Nº 04</v>
      </c>
      <c r="B1505" s="2">
        <v>21</v>
      </c>
      <c r="C1505" s="2">
        <v>11</v>
      </c>
      <c r="D1505" s="11" t="str">
        <f t="shared" si="33"/>
        <v>UN</v>
      </c>
      <c r="E1505" s="12">
        <v>77.742500000000007</v>
      </c>
      <c r="F1505" s="13">
        <v>0</v>
      </c>
      <c r="G1505" s="14" t="s">
        <v>198</v>
      </c>
    </row>
    <row r="1506" spans="1:7" x14ac:dyDescent="0.25">
      <c r="A1506" s="34" t="str">
        <f>"PIEZA 6060 SERIE A Nº 08"</f>
        <v>PIEZA 6060 SERIE A Nº 08</v>
      </c>
      <c r="B1506" s="2">
        <v>21</v>
      </c>
      <c r="C1506" s="2">
        <v>21</v>
      </c>
      <c r="D1506" s="11" t="str">
        <f t="shared" si="33"/>
        <v>UN</v>
      </c>
      <c r="E1506" s="12">
        <v>218.58375000000004</v>
      </c>
      <c r="F1506" s="13">
        <v>0</v>
      </c>
      <c r="G1506" s="14" t="s">
        <v>198</v>
      </c>
    </row>
    <row r="1507" spans="1:7" x14ac:dyDescent="0.25">
      <c r="A1507" s="34" t="str">
        <f>"PIEZA 6060 SERIE A Nº 10"</f>
        <v>PIEZA 6060 SERIE A Nº 10</v>
      </c>
      <c r="B1507" s="2">
        <v>21</v>
      </c>
      <c r="C1507" s="2">
        <v>35</v>
      </c>
      <c r="D1507" s="11" t="str">
        <f t="shared" si="33"/>
        <v>UN</v>
      </c>
      <c r="E1507" s="12">
        <v>34.65</v>
      </c>
      <c r="F1507" s="13">
        <v>0</v>
      </c>
      <c r="G1507" s="14" t="s">
        <v>198</v>
      </c>
    </row>
    <row r="1508" spans="1:7" x14ac:dyDescent="0.25">
      <c r="A1508" s="34" t="str">
        <f>"PIEZA 6060 SERIE A Nº 13"</f>
        <v>PIEZA 6060 SERIE A Nº 13</v>
      </c>
      <c r="B1508" s="2">
        <v>21</v>
      </c>
      <c r="C1508" s="2">
        <v>3</v>
      </c>
      <c r="D1508" s="11" t="str">
        <f t="shared" si="33"/>
        <v>UN</v>
      </c>
      <c r="E1508" s="12">
        <v>183.27374999999998</v>
      </c>
      <c r="F1508" s="13">
        <v>0</v>
      </c>
      <c r="G1508" s="14" t="s">
        <v>198</v>
      </c>
    </row>
    <row r="1509" spans="1:7" x14ac:dyDescent="0.25">
      <c r="A1509" s="34" t="str">
        <f>"PIEZA 6060 SERIE A Nº 15"</f>
        <v>PIEZA 6060 SERIE A Nº 15</v>
      </c>
      <c r="B1509" s="2">
        <v>21</v>
      </c>
      <c r="C1509" s="2">
        <v>13</v>
      </c>
      <c r="D1509" s="11" t="str">
        <f t="shared" si="33"/>
        <v>UN</v>
      </c>
      <c r="E1509" s="12">
        <v>51.122500000000002</v>
      </c>
      <c r="F1509" s="13">
        <v>0</v>
      </c>
      <c r="G1509" s="14" t="s">
        <v>198</v>
      </c>
    </row>
    <row r="1510" spans="1:7" x14ac:dyDescent="0.25">
      <c r="A1510" s="34" t="str">
        <f>"PIEZA 6060 SERIE A&amp;B Nº 11"</f>
        <v>PIEZA 6060 SERIE A&amp;B Nº 11</v>
      </c>
      <c r="B1510" s="2">
        <v>21</v>
      </c>
      <c r="C1510" s="2">
        <v>8</v>
      </c>
      <c r="D1510" s="11" t="str">
        <f t="shared" si="33"/>
        <v>UN</v>
      </c>
      <c r="E1510" s="12">
        <v>45.54</v>
      </c>
      <c r="F1510" s="13">
        <v>0</v>
      </c>
      <c r="G1510" s="14" t="s">
        <v>198</v>
      </c>
    </row>
    <row r="1511" spans="1:7" x14ac:dyDescent="0.25">
      <c r="A1511" s="34" t="str">
        <f>"PIEZA 6060 SERIE B Nº 10B"</f>
        <v>PIEZA 6060 SERIE B Nº 10B</v>
      </c>
      <c r="B1511" s="2">
        <v>21</v>
      </c>
      <c r="C1511" s="2">
        <v>1</v>
      </c>
      <c r="D1511" s="11" t="str">
        <f t="shared" si="33"/>
        <v>UN</v>
      </c>
      <c r="E1511" s="12">
        <v>0.99</v>
      </c>
      <c r="F1511" s="13">
        <v>0</v>
      </c>
      <c r="G1511" s="14" t="s">
        <v>198</v>
      </c>
    </row>
    <row r="1512" spans="1:7" x14ac:dyDescent="0.25">
      <c r="A1512" s="34" t="str">
        <f>"PIEZA 6060 SERIE B Nº 12"</f>
        <v>PIEZA 6060 SERIE B Nº 12</v>
      </c>
      <c r="B1512" s="2">
        <v>21</v>
      </c>
      <c r="C1512" s="2">
        <v>4</v>
      </c>
      <c r="D1512" s="11" t="str">
        <f t="shared" si="33"/>
        <v>UN</v>
      </c>
      <c r="E1512" s="12">
        <v>167.75000000000003</v>
      </c>
      <c r="F1512" s="13">
        <v>0</v>
      </c>
      <c r="G1512" s="14" t="s">
        <v>198</v>
      </c>
    </row>
    <row r="1513" spans="1:7" x14ac:dyDescent="0.25">
      <c r="A1513" s="34" t="str">
        <f>"PIEZA 6060 SERIE C Nº 38"</f>
        <v>PIEZA 6060 SERIE C Nº 38</v>
      </c>
      <c r="B1513" s="2">
        <v>21</v>
      </c>
      <c r="C1513" s="2">
        <v>10</v>
      </c>
      <c r="D1513" s="11" t="str">
        <f t="shared" si="33"/>
        <v>UN</v>
      </c>
      <c r="E1513" s="12">
        <v>37.125</v>
      </c>
      <c r="F1513" s="13">
        <v>0</v>
      </c>
      <c r="G1513" s="14" t="s">
        <v>198</v>
      </c>
    </row>
    <row r="1514" spans="1:7" x14ac:dyDescent="0.25">
      <c r="A1514" s="34" t="str">
        <f>"PIEZA 6060 SERIE D Nº 03"</f>
        <v>PIEZA 6060 SERIE D Nº 03</v>
      </c>
      <c r="B1514" s="2">
        <v>21</v>
      </c>
      <c r="C1514" s="2">
        <v>12</v>
      </c>
      <c r="D1514" s="11" t="str">
        <f t="shared" si="33"/>
        <v>UN</v>
      </c>
      <c r="E1514" s="12">
        <v>19.8</v>
      </c>
      <c r="F1514" s="13">
        <v>0</v>
      </c>
      <c r="G1514" s="14" t="s">
        <v>198</v>
      </c>
    </row>
    <row r="1515" spans="1:7" x14ac:dyDescent="0.25">
      <c r="A1515" s="34" t="str">
        <f>"PIEZA 6060 SERIE D Nº 08-d"</f>
        <v>PIEZA 6060 SERIE D Nº 08-d</v>
      </c>
      <c r="B1515" s="2">
        <v>21</v>
      </c>
      <c r="C1515" s="2">
        <v>2</v>
      </c>
      <c r="D1515" s="11" t="str">
        <f t="shared" si="33"/>
        <v>UN</v>
      </c>
      <c r="E1515" s="12">
        <v>26.015000000000004</v>
      </c>
      <c r="F1515" s="13">
        <v>0</v>
      </c>
      <c r="G1515" s="14" t="s">
        <v>198</v>
      </c>
    </row>
    <row r="1516" spans="1:7" x14ac:dyDescent="0.25">
      <c r="A1516" s="34" t="str">
        <f>"PIEZA 6060 SERIE D Nº 09-C"</f>
        <v>PIEZA 6060 SERIE D Nº 09-C</v>
      </c>
      <c r="B1516" s="2">
        <v>21</v>
      </c>
      <c r="C1516" s="2">
        <v>2</v>
      </c>
      <c r="D1516" s="11" t="str">
        <f t="shared" si="33"/>
        <v>UN</v>
      </c>
      <c r="E1516" s="12">
        <v>43.34</v>
      </c>
      <c r="F1516" s="13">
        <v>0</v>
      </c>
      <c r="G1516" s="14" t="s">
        <v>198</v>
      </c>
    </row>
    <row r="1517" spans="1:7" x14ac:dyDescent="0.25">
      <c r="A1517" s="34" t="str">
        <f>"PIEZA 6060 SERIE D Nº 10-d"</f>
        <v>PIEZA 6060 SERIE D Nº 10-d</v>
      </c>
      <c r="B1517" s="2">
        <v>21</v>
      </c>
      <c r="C1517" s="2">
        <v>39</v>
      </c>
      <c r="D1517" s="11" t="str">
        <f t="shared" si="33"/>
        <v>UN</v>
      </c>
      <c r="E1517" s="12">
        <v>50.943750000000001</v>
      </c>
      <c r="F1517" s="13">
        <v>0</v>
      </c>
      <c r="G1517" s="14" t="s">
        <v>198</v>
      </c>
    </row>
    <row r="1518" spans="1:7" x14ac:dyDescent="0.25">
      <c r="A1518" s="34" t="str">
        <f>"PIEZA 6060 SERIE D Nº 14-C"</f>
        <v>PIEZA 6060 SERIE D Nº 14-C</v>
      </c>
      <c r="B1518" s="2">
        <v>21</v>
      </c>
      <c r="C1518" s="2">
        <v>8</v>
      </c>
      <c r="D1518" s="11" t="str">
        <f t="shared" si="33"/>
        <v>UN</v>
      </c>
      <c r="E1518" s="12">
        <v>519.86000000000013</v>
      </c>
      <c r="F1518" s="13">
        <v>0</v>
      </c>
      <c r="G1518" s="14" t="s">
        <v>198</v>
      </c>
    </row>
    <row r="1519" spans="1:7" x14ac:dyDescent="0.25">
      <c r="A1519" s="34" t="str">
        <f>"PIEZA 6060 SERIE D Nº 16"</f>
        <v>PIEZA 6060 SERIE D Nº 16</v>
      </c>
      <c r="B1519" s="2">
        <v>21</v>
      </c>
      <c r="C1519" s="2">
        <v>5</v>
      </c>
      <c r="D1519" s="11" t="str">
        <f t="shared" si="33"/>
        <v>UN</v>
      </c>
      <c r="E1519" s="12">
        <v>19.937500000000004</v>
      </c>
      <c r="F1519" s="13">
        <v>0</v>
      </c>
      <c r="G1519" s="14" t="s">
        <v>198</v>
      </c>
    </row>
    <row r="1520" spans="1:7" x14ac:dyDescent="0.25">
      <c r="A1520" s="34" t="str">
        <f>"PIEZA 6065 SERIE A Nº 21"</f>
        <v>PIEZA 6065 SERIE A Nº 21</v>
      </c>
      <c r="B1520" s="2">
        <v>21</v>
      </c>
      <c r="C1520" s="2">
        <v>2</v>
      </c>
      <c r="D1520" s="11" t="str">
        <f t="shared" si="33"/>
        <v>UN</v>
      </c>
      <c r="E1520" s="12">
        <v>73.5625</v>
      </c>
      <c r="F1520" s="13">
        <v>0</v>
      </c>
      <c r="G1520" s="14" t="s">
        <v>198</v>
      </c>
    </row>
    <row r="1521" spans="1:7" x14ac:dyDescent="0.25">
      <c r="A1521" s="34" t="str">
        <f>"PIEZA 6065 SERIE C Nº 04"</f>
        <v>PIEZA 6065 SERIE C Nº 04</v>
      </c>
      <c r="B1521" s="2">
        <v>21</v>
      </c>
      <c r="C1521" s="2">
        <v>3</v>
      </c>
      <c r="D1521" s="11" t="str">
        <f t="shared" si="33"/>
        <v>UN</v>
      </c>
      <c r="E1521" s="12">
        <v>21.450000000000003</v>
      </c>
      <c r="F1521" s="13">
        <v>0</v>
      </c>
      <c r="G1521" s="14" t="s">
        <v>198</v>
      </c>
    </row>
    <row r="1522" spans="1:7" x14ac:dyDescent="0.25">
      <c r="A1522" s="34" t="str">
        <f>"PIEZA 6065 SERIE C Nº 05"</f>
        <v>PIEZA 6065 SERIE C Nº 05</v>
      </c>
      <c r="B1522" s="2">
        <v>21</v>
      </c>
      <c r="C1522" s="2">
        <v>1</v>
      </c>
      <c r="D1522" s="11" t="str">
        <f t="shared" si="33"/>
        <v>UN</v>
      </c>
      <c r="E1522" s="12">
        <v>87.58750000000002</v>
      </c>
      <c r="F1522" s="13">
        <v>0</v>
      </c>
      <c r="G1522" s="14" t="s">
        <v>198</v>
      </c>
    </row>
    <row r="1523" spans="1:7" x14ac:dyDescent="0.25">
      <c r="A1523" s="34" t="str">
        <f>"PIEZA 6065 SERIE C Nº 06"</f>
        <v>PIEZA 6065 SERIE C Nº 06</v>
      </c>
      <c r="B1523" s="2">
        <v>21</v>
      </c>
      <c r="C1523" s="2">
        <v>3</v>
      </c>
      <c r="D1523" s="11" t="str">
        <f t="shared" si="33"/>
        <v>UN</v>
      </c>
      <c r="E1523" s="12">
        <v>14.231250000000005</v>
      </c>
      <c r="F1523" s="13">
        <v>0</v>
      </c>
      <c r="G1523" s="14" t="s">
        <v>198</v>
      </c>
    </row>
    <row r="1524" spans="1:7" x14ac:dyDescent="0.25">
      <c r="A1524" s="34" t="str">
        <f>"PIEZA 6065 SERIE C Nº 19"</f>
        <v>PIEZA 6065 SERIE C Nº 19</v>
      </c>
      <c r="B1524" s="2">
        <v>21</v>
      </c>
      <c r="C1524" s="2">
        <v>2</v>
      </c>
      <c r="D1524" s="11" t="str">
        <f t="shared" si="33"/>
        <v>UN</v>
      </c>
      <c r="E1524" s="12">
        <v>18.975000000000001</v>
      </c>
      <c r="F1524" s="13">
        <v>0</v>
      </c>
      <c r="G1524" s="14" t="s">
        <v>198</v>
      </c>
    </row>
    <row r="1525" spans="1:7" x14ac:dyDescent="0.25">
      <c r="A1525" s="34" t="str">
        <f>"PIEZA 6065 SERIE C Nº 26"</f>
        <v>PIEZA 6065 SERIE C Nº 26</v>
      </c>
      <c r="B1525" s="2">
        <v>21</v>
      </c>
      <c r="C1525" s="2">
        <v>9</v>
      </c>
      <c r="D1525" s="11" t="str">
        <f t="shared" si="33"/>
        <v>UN</v>
      </c>
      <c r="E1525" s="12">
        <v>21.656250000000004</v>
      </c>
      <c r="F1525" s="13">
        <v>0</v>
      </c>
      <c r="G1525" s="14" t="s">
        <v>198</v>
      </c>
    </row>
    <row r="1526" spans="1:7" x14ac:dyDescent="0.25">
      <c r="A1526" s="34" t="str">
        <f>"PIEZA 6065 SERIE C Nº 29"</f>
        <v>PIEZA 6065 SERIE C Nº 29</v>
      </c>
      <c r="B1526" s="2">
        <v>21</v>
      </c>
      <c r="C1526" s="2">
        <v>8</v>
      </c>
      <c r="D1526" s="11" t="str">
        <f t="shared" si="33"/>
        <v>UN</v>
      </c>
      <c r="E1526" s="12">
        <v>19.8</v>
      </c>
      <c r="F1526" s="13">
        <v>0</v>
      </c>
      <c r="G1526" s="14" t="s">
        <v>198</v>
      </c>
    </row>
    <row r="1527" spans="1:7" x14ac:dyDescent="0.25">
      <c r="A1527" s="34" t="str">
        <f>"PIEZA 6065 SERIE C Nº 33"</f>
        <v>PIEZA 6065 SERIE C Nº 33</v>
      </c>
      <c r="B1527" s="2">
        <v>21</v>
      </c>
      <c r="C1527" s="2">
        <v>1</v>
      </c>
      <c r="D1527" s="11" t="str">
        <f t="shared" si="33"/>
        <v>UN</v>
      </c>
      <c r="E1527" s="12">
        <v>75.900000000000006</v>
      </c>
      <c r="F1527" s="13">
        <v>0</v>
      </c>
      <c r="G1527" s="14" t="s">
        <v>198</v>
      </c>
    </row>
    <row r="1528" spans="1:7" x14ac:dyDescent="0.25">
      <c r="A1528" s="34" t="str">
        <f>"PIEZA 6065 SERIE C Nº 37"</f>
        <v>PIEZA 6065 SERIE C Nº 37</v>
      </c>
      <c r="B1528" s="2">
        <v>21</v>
      </c>
      <c r="C1528" s="2">
        <v>3</v>
      </c>
      <c r="D1528" s="11" t="str">
        <f t="shared" si="33"/>
        <v>UN</v>
      </c>
      <c r="E1528" s="12">
        <v>96.731249999999989</v>
      </c>
      <c r="F1528" s="13">
        <v>0</v>
      </c>
      <c r="G1528" s="14" t="s">
        <v>198</v>
      </c>
    </row>
    <row r="1529" spans="1:7" x14ac:dyDescent="0.25">
      <c r="A1529" s="34" t="str">
        <f>"PIEZA 6065 SERIE C Nº 38"</f>
        <v>PIEZA 6065 SERIE C Nº 38</v>
      </c>
      <c r="B1529" s="2">
        <v>21</v>
      </c>
      <c r="C1529" s="2">
        <v>4</v>
      </c>
      <c r="D1529" s="11" t="str">
        <f t="shared" si="33"/>
        <v>UN</v>
      </c>
      <c r="E1529" s="12">
        <v>128.97500000000002</v>
      </c>
      <c r="F1529" s="13">
        <v>0</v>
      </c>
      <c r="G1529" s="14" t="s">
        <v>198</v>
      </c>
    </row>
    <row r="1530" spans="1:7" x14ac:dyDescent="0.25">
      <c r="A1530" s="34" t="str">
        <f>"PIEZA 6065 SERIE C Nº 39"</f>
        <v>PIEZA 6065 SERIE C Nº 39</v>
      </c>
      <c r="B1530" s="2">
        <v>21</v>
      </c>
      <c r="C1530" s="2">
        <v>3</v>
      </c>
      <c r="D1530" s="11" t="str">
        <f t="shared" si="33"/>
        <v>UN</v>
      </c>
      <c r="E1530" s="12">
        <v>52.387499999999996</v>
      </c>
      <c r="F1530" s="13">
        <v>0</v>
      </c>
      <c r="G1530" s="14" t="s">
        <v>198</v>
      </c>
    </row>
    <row r="1531" spans="1:7" x14ac:dyDescent="0.25">
      <c r="A1531" s="34" t="str">
        <f>"PIEZA 6065 SERIE C Nº 40"</f>
        <v>PIEZA 6065 SERIE C Nº 40</v>
      </c>
      <c r="B1531" s="2">
        <v>21</v>
      </c>
      <c r="C1531" s="2">
        <v>10</v>
      </c>
      <c r="D1531" s="11" t="str">
        <f t="shared" si="33"/>
        <v>UN</v>
      </c>
      <c r="E1531" s="12">
        <v>24.062500000000004</v>
      </c>
      <c r="F1531" s="13">
        <v>0</v>
      </c>
      <c r="G1531" s="14" t="s">
        <v>198</v>
      </c>
    </row>
    <row r="1532" spans="1:7" x14ac:dyDescent="0.25">
      <c r="A1532" s="34" t="str">
        <f>"PIEZA 6065 SERIE C Nº 41"</f>
        <v>PIEZA 6065 SERIE C Nº 41</v>
      </c>
      <c r="B1532" s="2">
        <v>21</v>
      </c>
      <c r="C1532" s="2">
        <v>23</v>
      </c>
      <c r="D1532" s="11" t="str">
        <f t="shared" si="33"/>
        <v>UN</v>
      </c>
      <c r="E1532" s="12">
        <v>77.481250000000017</v>
      </c>
      <c r="F1532" s="13">
        <v>0</v>
      </c>
      <c r="G1532" s="14" t="s">
        <v>198</v>
      </c>
    </row>
    <row r="1533" spans="1:7" x14ac:dyDescent="0.25">
      <c r="A1533" s="34" t="str">
        <f>"PIEZA 6067 SERIE A Nº 21"</f>
        <v>PIEZA 6067 SERIE A Nº 21</v>
      </c>
      <c r="B1533" s="2">
        <v>21</v>
      </c>
      <c r="C1533" s="2">
        <v>2</v>
      </c>
      <c r="D1533" s="11" t="str">
        <f t="shared" si="33"/>
        <v>UN</v>
      </c>
      <c r="E1533" s="12">
        <v>70.40000000000002</v>
      </c>
      <c r="F1533" s="13">
        <v>0</v>
      </c>
      <c r="G1533" s="14" t="s">
        <v>198</v>
      </c>
    </row>
    <row r="1534" spans="1:7" x14ac:dyDescent="0.25">
      <c r="A1534" s="34" t="str">
        <f>"PIEZA 6067 SERIE A Nº 31"</f>
        <v>PIEZA 6067 SERIE A Nº 31</v>
      </c>
      <c r="B1534" s="2">
        <v>21</v>
      </c>
      <c r="C1534" s="2">
        <v>1</v>
      </c>
      <c r="D1534" s="11" t="str">
        <f t="shared" si="33"/>
        <v>UN</v>
      </c>
      <c r="E1534" s="12">
        <v>2.6124999999999998</v>
      </c>
      <c r="F1534" s="13">
        <v>0</v>
      </c>
      <c r="G1534" s="14" t="s">
        <v>198</v>
      </c>
    </row>
    <row r="1535" spans="1:7" x14ac:dyDescent="0.25">
      <c r="A1535" s="34" t="str">
        <f>"PIEZA 6067 SERIE A Nº 33"</f>
        <v>PIEZA 6067 SERIE A Nº 33</v>
      </c>
      <c r="B1535" s="2">
        <v>21</v>
      </c>
      <c r="C1535" s="2">
        <v>3</v>
      </c>
      <c r="D1535" s="11" t="str">
        <f t="shared" si="33"/>
        <v>UN</v>
      </c>
      <c r="E1535" s="12">
        <v>668.25000000000011</v>
      </c>
      <c r="F1535" s="13">
        <v>0</v>
      </c>
      <c r="G1535" s="14" t="s">
        <v>198</v>
      </c>
    </row>
    <row r="1536" spans="1:7" x14ac:dyDescent="0.25">
      <c r="A1536" s="34" t="str">
        <f>"PIEZA 6067 SERIE A Nº 37"</f>
        <v>PIEZA 6067 SERIE A Nº 37</v>
      </c>
      <c r="B1536" s="2">
        <v>21</v>
      </c>
      <c r="C1536" s="2">
        <v>1</v>
      </c>
      <c r="D1536" s="11" t="str">
        <f t="shared" si="33"/>
        <v>UN</v>
      </c>
      <c r="E1536" s="12">
        <v>4.9500000000000011</v>
      </c>
      <c r="F1536" s="13">
        <v>0</v>
      </c>
      <c r="G1536" s="14" t="s">
        <v>198</v>
      </c>
    </row>
    <row r="1537" spans="1:7" x14ac:dyDescent="0.25">
      <c r="A1537" s="34" t="str">
        <f>"PIEZA 6067 SERIE A Nº 38"</f>
        <v>PIEZA 6067 SERIE A Nº 38</v>
      </c>
      <c r="B1537" s="2">
        <v>21</v>
      </c>
      <c r="C1537" s="2">
        <v>2</v>
      </c>
      <c r="D1537" s="11" t="str">
        <f t="shared" si="33"/>
        <v>UN</v>
      </c>
      <c r="E1537" s="12">
        <v>55.275000000000006</v>
      </c>
      <c r="F1537" s="13">
        <v>0</v>
      </c>
      <c r="G1537" s="14" t="s">
        <v>198</v>
      </c>
    </row>
    <row r="1538" spans="1:7" x14ac:dyDescent="0.25">
      <c r="A1538" s="34" t="str">
        <f>"PIEZA 6067 SERIE A Nº 39"</f>
        <v>PIEZA 6067 SERIE A Nº 39</v>
      </c>
      <c r="B1538" s="2">
        <v>21</v>
      </c>
      <c r="C1538" s="2">
        <v>1</v>
      </c>
      <c r="D1538" s="11" t="str">
        <f t="shared" si="33"/>
        <v>UN</v>
      </c>
      <c r="E1538" s="12">
        <v>24.200000000000006</v>
      </c>
      <c r="F1538" s="13">
        <v>0</v>
      </c>
      <c r="G1538" s="14" t="s">
        <v>198</v>
      </c>
    </row>
    <row r="1539" spans="1:7" x14ac:dyDescent="0.25">
      <c r="A1539" s="34" t="str">
        <f>"PIEZA 6100 SERIE A Nº 09"</f>
        <v>PIEZA 6100 SERIE A Nº 09</v>
      </c>
      <c r="B1539" s="2">
        <v>21</v>
      </c>
      <c r="C1539" s="2">
        <v>9</v>
      </c>
      <c r="D1539" s="11" t="str">
        <f t="shared" si="33"/>
        <v>UN</v>
      </c>
      <c r="E1539" s="12">
        <v>8.7862500000000008</v>
      </c>
      <c r="F1539" s="13">
        <v>0</v>
      </c>
      <c r="G1539" s="14" t="s">
        <v>198</v>
      </c>
    </row>
    <row r="1540" spans="1:7" x14ac:dyDescent="0.25">
      <c r="A1540" s="34" t="str">
        <f>"PIEZA 6100 SERIE A Nº 10"</f>
        <v>PIEZA 6100 SERIE A Nº 10</v>
      </c>
      <c r="B1540" s="2">
        <v>21</v>
      </c>
      <c r="C1540" s="2">
        <v>10</v>
      </c>
      <c r="D1540" s="11" t="str">
        <f t="shared" si="33"/>
        <v>UN</v>
      </c>
      <c r="E1540" s="12">
        <v>131.72499999999999</v>
      </c>
      <c r="F1540" s="13">
        <v>0</v>
      </c>
      <c r="G1540" s="14" t="s">
        <v>198</v>
      </c>
    </row>
    <row r="1541" spans="1:7" x14ac:dyDescent="0.25">
      <c r="A1541" s="34" t="str">
        <f>"PIEZA 6100 SERIE A Nº 11"</f>
        <v>PIEZA 6100 SERIE A Nº 11</v>
      </c>
      <c r="B1541" s="2">
        <v>21</v>
      </c>
      <c r="C1541" s="2">
        <v>1</v>
      </c>
      <c r="D1541" s="11" t="str">
        <f t="shared" si="33"/>
        <v>UN</v>
      </c>
      <c r="E1541" s="12">
        <v>58.533750000000005</v>
      </c>
      <c r="F1541" s="13">
        <v>0</v>
      </c>
      <c r="G1541" s="14" t="s">
        <v>198</v>
      </c>
    </row>
    <row r="1542" spans="1:7" x14ac:dyDescent="0.25">
      <c r="A1542" s="34" t="str">
        <f>"PIEZA 6100 SERIE A Nº 12"</f>
        <v>PIEZA 6100 SERIE A Nº 12</v>
      </c>
      <c r="B1542" s="2">
        <v>21</v>
      </c>
      <c r="C1542" s="2">
        <v>1</v>
      </c>
      <c r="D1542" s="11" t="str">
        <f t="shared" si="33"/>
        <v>UN</v>
      </c>
      <c r="E1542" s="12">
        <v>10.862500000000002</v>
      </c>
      <c r="F1542" s="13">
        <v>0</v>
      </c>
      <c r="G1542" s="14" t="s">
        <v>198</v>
      </c>
    </row>
    <row r="1543" spans="1:7" x14ac:dyDescent="0.25">
      <c r="A1543" s="34" t="str">
        <f>"PIEZA 6100 SERIE A Nº 13"</f>
        <v>PIEZA 6100 SERIE A Nº 13</v>
      </c>
      <c r="B1543" s="2">
        <v>21</v>
      </c>
      <c r="C1543" s="2">
        <v>3</v>
      </c>
      <c r="D1543" s="11" t="str">
        <f t="shared" si="33"/>
        <v>UN</v>
      </c>
      <c r="E1543" s="12">
        <v>42.446249999999999</v>
      </c>
      <c r="F1543" s="13">
        <v>0</v>
      </c>
      <c r="G1543" s="14" t="s">
        <v>198</v>
      </c>
    </row>
    <row r="1544" spans="1:7" x14ac:dyDescent="0.25">
      <c r="A1544" s="34" t="str">
        <f>"PIEZA 6100 SERIE A Nº 14"</f>
        <v>PIEZA 6100 SERIE A Nº 14</v>
      </c>
      <c r="B1544" s="2">
        <v>21</v>
      </c>
      <c r="C1544" s="2">
        <v>34</v>
      </c>
      <c r="D1544" s="11" t="str">
        <f t="shared" si="33"/>
        <v>UN</v>
      </c>
      <c r="E1544" s="12">
        <v>33.659999999999997</v>
      </c>
      <c r="F1544" s="13">
        <v>0</v>
      </c>
      <c r="G1544" s="14" t="s">
        <v>198</v>
      </c>
    </row>
    <row r="1545" spans="1:7" x14ac:dyDescent="0.25">
      <c r="A1545" s="34" t="str">
        <f>"PIEZA 6100 SERIE A Nº 20"</f>
        <v>PIEZA 6100 SERIE A Nº 20</v>
      </c>
      <c r="B1545" s="2">
        <v>21</v>
      </c>
      <c r="C1545" s="2">
        <v>69</v>
      </c>
      <c r="D1545" s="11" t="str">
        <f t="shared" si="33"/>
        <v>UN</v>
      </c>
      <c r="E1545" s="12">
        <v>230.54625000000004</v>
      </c>
      <c r="F1545" s="13">
        <v>0</v>
      </c>
      <c r="G1545" s="14" t="s">
        <v>198</v>
      </c>
    </row>
    <row r="1546" spans="1:7" x14ac:dyDescent="0.25">
      <c r="A1546" s="34" t="str">
        <f>"PIEZA 6100 SERIE A Nº 21"</f>
        <v>PIEZA 6100 SERIE A Nº 21</v>
      </c>
      <c r="B1546" s="2">
        <v>21</v>
      </c>
      <c r="C1546" s="2">
        <v>1</v>
      </c>
      <c r="D1546" s="11" t="str">
        <f t="shared" ref="D1546:D1609" si="34">"UN"</f>
        <v>UN</v>
      </c>
      <c r="E1546" s="12">
        <v>11.783750000000001</v>
      </c>
      <c r="F1546" s="13">
        <v>0</v>
      </c>
      <c r="G1546" s="14" t="s">
        <v>198</v>
      </c>
    </row>
    <row r="1547" spans="1:7" x14ac:dyDescent="0.25">
      <c r="A1547" s="34" t="str">
        <f>"PIEZA 6100 SERIE A Nº 25"</f>
        <v>PIEZA 6100 SERIE A Nº 25</v>
      </c>
      <c r="B1547" s="2">
        <v>21</v>
      </c>
      <c r="C1547" s="2">
        <v>13</v>
      </c>
      <c r="D1547" s="11" t="str">
        <f t="shared" si="34"/>
        <v>UN</v>
      </c>
      <c r="E1547" s="12">
        <v>18.947500000000002</v>
      </c>
      <c r="F1547" s="13">
        <v>0</v>
      </c>
      <c r="G1547" s="14" t="s">
        <v>198</v>
      </c>
    </row>
    <row r="1548" spans="1:7" x14ac:dyDescent="0.25">
      <c r="A1548" s="34" t="str">
        <f>"PIEZA 6210 SERIE A Nº 37"</f>
        <v>PIEZA 6210 SERIE A Nº 37</v>
      </c>
      <c r="B1548" s="2">
        <v>21</v>
      </c>
      <c r="C1548" s="2">
        <v>1</v>
      </c>
      <c r="D1548" s="11" t="str">
        <f t="shared" si="34"/>
        <v>UN</v>
      </c>
      <c r="E1548" s="12">
        <v>5.7750000000000004</v>
      </c>
      <c r="F1548" s="13">
        <v>0</v>
      </c>
      <c r="G1548" s="14" t="s">
        <v>198</v>
      </c>
    </row>
    <row r="1549" spans="1:7" x14ac:dyDescent="0.25">
      <c r="A1549" s="34" t="str">
        <f>"PIEZA 6210 SERIE A Nº 39"</f>
        <v>PIEZA 6210 SERIE A Nº 39</v>
      </c>
      <c r="B1549" s="2">
        <v>21</v>
      </c>
      <c r="C1549" s="2">
        <v>1</v>
      </c>
      <c r="D1549" s="11" t="str">
        <f t="shared" si="34"/>
        <v>UN</v>
      </c>
      <c r="E1549" s="12">
        <v>25.987500000000004</v>
      </c>
      <c r="F1549" s="13">
        <v>0</v>
      </c>
      <c r="G1549" s="14" t="s">
        <v>198</v>
      </c>
    </row>
    <row r="1550" spans="1:7" x14ac:dyDescent="0.25">
      <c r="A1550" s="34" t="str">
        <f>"PIEZA 6210C SERIE B Nº 01"</f>
        <v>PIEZA 6210C SERIE B Nº 01</v>
      </c>
      <c r="B1550" s="2">
        <v>21</v>
      </c>
      <c r="C1550" s="2">
        <v>1</v>
      </c>
      <c r="D1550" s="11" t="str">
        <f t="shared" si="34"/>
        <v>UN</v>
      </c>
      <c r="E1550" s="12">
        <v>38.362500000000004</v>
      </c>
      <c r="F1550" s="13">
        <v>0</v>
      </c>
      <c r="G1550" s="14" t="s">
        <v>198</v>
      </c>
    </row>
    <row r="1551" spans="1:7" x14ac:dyDescent="0.25">
      <c r="A1551" s="34" t="str">
        <f>"PIEZA 6210C SERIE D Nº 01"</f>
        <v>PIEZA 6210C SERIE D Nº 01</v>
      </c>
      <c r="B1551" s="2">
        <v>21</v>
      </c>
      <c r="C1551" s="2">
        <v>1</v>
      </c>
      <c r="D1551" s="11" t="str">
        <f t="shared" si="34"/>
        <v>UN</v>
      </c>
      <c r="E1551" s="12">
        <v>2.4750000000000005</v>
      </c>
      <c r="F1551" s="13">
        <v>0</v>
      </c>
      <c r="G1551" s="14" t="s">
        <v>198</v>
      </c>
    </row>
    <row r="1552" spans="1:7" x14ac:dyDescent="0.25">
      <c r="A1552" s="34" t="str">
        <f>"PIEZA 6210C SERIE F Nº 01"</f>
        <v>PIEZA 6210C SERIE F Nº 01</v>
      </c>
      <c r="B1552" s="2">
        <v>21</v>
      </c>
      <c r="C1552" s="2">
        <v>1</v>
      </c>
      <c r="D1552" s="11" t="str">
        <f t="shared" si="34"/>
        <v>UN</v>
      </c>
      <c r="E1552" s="12">
        <v>1.375</v>
      </c>
      <c r="F1552" s="13">
        <v>0</v>
      </c>
      <c r="G1552" s="14" t="s">
        <v>198</v>
      </c>
    </row>
    <row r="1553" spans="1:7" x14ac:dyDescent="0.25">
      <c r="A1553" s="34" t="str">
        <f>"PIEZA 6220 SERIE A Nº 02"</f>
        <v>PIEZA 6220 SERIE A Nº 02</v>
      </c>
      <c r="B1553" s="2">
        <v>21</v>
      </c>
      <c r="C1553" s="2">
        <v>1</v>
      </c>
      <c r="D1553" s="11" t="str">
        <f t="shared" si="34"/>
        <v>UN</v>
      </c>
      <c r="E1553" s="12">
        <v>18.837499999999999</v>
      </c>
      <c r="F1553" s="13">
        <v>0</v>
      </c>
      <c r="G1553" s="14" t="s">
        <v>198</v>
      </c>
    </row>
    <row r="1554" spans="1:7" x14ac:dyDescent="0.25">
      <c r="A1554" s="34" t="str">
        <f>"PIEZA 6220 SERIE A Nº 04"</f>
        <v>PIEZA 6220 SERIE A Nº 04</v>
      </c>
      <c r="B1554" s="2">
        <v>21</v>
      </c>
      <c r="C1554" s="2">
        <v>2</v>
      </c>
      <c r="D1554" s="11" t="str">
        <f t="shared" si="34"/>
        <v>UN</v>
      </c>
      <c r="E1554" s="12">
        <v>15.8125</v>
      </c>
      <c r="F1554" s="13">
        <v>0</v>
      </c>
      <c r="G1554" s="14" t="s">
        <v>198</v>
      </c>
    </row>
    <row r="1555" spans="1:7" x14ac:dyDescent="0.25">
      <c r="A1555" s="34" t="str">
        <f>"PIEZA 6220 SERIE A Nº 06"</f>
        <v>PIEZA 6220 SERIE A Nº 06</v>
      </c>
      <c r="B1555" s="2">
        <v>21</v>
      </c>
      <c r="C1555" s="2">
        <v>1</v>
      </c>
      <c r="D1555" s="11" t="str">
        <f t="shared" si="34"/>
        <v>UN</v>
      </c>
      <c r="E1555" s="12">
        <v>11.55</v>
      </c>
      <c r="F1555" s="13">
        <v>0</v>
      </c>
      <c r="G1555" s="14" t="s">
        <v>198</v>
      </c>
    </row>
    <row r="1556" spans="1:7" x14ac:dyDescent="0.25">
      <c r="A1556" s="34" t="str">
        <f>"PIEZA 6220 SERIE A Nº 28"</f>
        <v>PIEZA 6220 SERIE A Nº 28</v>
      </c>
      <c r="B1556" s="2">
        <v>21</v>
      </c>
      <c r="C1556" s="2">
        <v>1</v>
      </c>
      <c r="D1556" s="11" t="str">
        <f t="shared" si="34"/>
        <v>UN</v>
      </c>
      <c r="E1556" s="12">
        <v>53.07500000000001</v>
      </c>
      <c r="F1556" s="13">
        <v>0</v>
      </c>
      <c r="G1556" s="14" t="s">
        <v>198</v>
      </c>
    </row>
    <row r="1557" spans="1:7" x14ac:dyDescent="0.25">
      <c r="A1557" s="34" t="str">
        <f>"PIEZA 6220 SERIE A Nº 29"</f>
        <v>PIEZA 6220 SERIE A Nº 29</v>
      </c>
      <c r="B1557" s="2">
        <v>21</v>
      </c>
      <c r="C1557" s="2">
        <v>4</v>
      </c>
      <c r="D1557" s="11" t="str">
        <f t="shared" si="34"/>
        <v>UN</v>
      </c>
      <c r="E1557" s="12">
        <v>22</v>
      </c>
      <c r="F1557" s="13">
        <v>0</v>
      </c>
      <c r="G1557" s="14" t="s">
        <v>198</v>
      </c>
    </row>
    <row r="1558" spans="1:7" x14ac:dyDescent="0.25">
      <c r="A1558" s="34" t="str">
        <f>"PIEZA 6220 SERIE A Nº 33"</f>
        <v>PIEZA 6220 SERIE A Nº 33</v>
      </c>
      <c r="B1558" s="2">
        <v>21</v>
      </c>
      <c r="C1558" s="2">
        <v>1</v>
      </c>
      <c r="D1558" s="11" t="str">
        <f t="shared" si="34"/>
        <v>UN</v>
      </c>
      <c r="E1558" s="12">
        <v>1.3062500000000001</v>
      </c>
      <c r="F1558" s="13">
        <v>0</v>
      </c>
      <c r="G1558" s="14" t="s">
        <v>198</v>
      </c>
    </row>
    <row r="1559" spans="1:7" x14ac:dyDescent="0.25">
      <c r="A1559" s="34" t="str">
        <f>"PIEZA 6220 SERIE A Nº 34"</f>
        <v>PIEZA 6220 SERIE A Nº 34</v>
      </c>
      <c r="B1559" s="2">
        <v>21</v>
      </c>
      <c r="C1559" s="2">
        <v>8</v>
      </c>
      <c r="D1559" s="11" t="str">
        <f t="shared" si="34"/>
        <v>UN</v>
      </c>
      <c r="E1559" s="12">
        <v>15.4</v>
      </c>
      <c r="F1559" s="13">
        <v>0</v>
      </c>
      <c r="G1559" s="14" t="s">
        <v>198</v>
      </c>
    </row>
    <row r="1560" spans="1:7" x14ac:dyDescent="0.25">
      <c r="A1560" s="34" t="str">
        <f>"PIEZA 6300 SERIE A Nº 48"</f>
        <v>PIEZA 6300 SERIE A Nº 48</v>
      </c>
      <c r="B1560" s="2">
        <v>21</v>
      </c>
      <c r="C1560" s="2">
        <v>10</v>
      </c>
      <c r="D1560" s="11" t="str">
        <f t="shared" si="34"/>
        <v>UN</v>
      </c>
      <c r="E1560" s="12">
        <v>17.737500000000001</v>
      </c>
      <c r="F1560" s="13">
        <v>0</v>
      </c>
      <c r="G1560" s="14" t="s">
        <v>198</v>
      </c>
    </row>
    <row r="1561" spans="1:7" x14ac:dyDescent="0.25">
      <c r="A1561" s="34" t="str">
        <f>"PIEZA 6350 SERIE A Nº 02"</f>
        <v>PIEZA 6350 SERIE A Nº 02</v>
      </c>
      <c r="B1561" s="2">
        <v>21</v>
      </c>
      <c r="C1561" s="2">
        <v>2</v>
      </c>
      <c r="D1561" s="11" t="str">
        <f t="shared" si="34"/>
        <v>UN</v>
      </c>
      <c r="E1561" s="12">
        <v>5.5</v>
      </c>
      <c r="F1561" s="13">
        <v>0</v>
      </c>
      <c r="G1561" s="14" t="s">
        <v>198</v>
      </c>
    </row>
    <row r="1562" spans="1:7" x14ac:dyDescent="0.25">
      <c r="A1562" s="34" t="str">
        <f>"PIEZA 6350 SERIE B Nº 08"</f>
        <v>PIEZA 6350 SERIE B Nº 08</v>
      </c>
      <c r="B1562" s="2">
        <v>21</v>
      </c>
      <c r="C1562" s="2">
        <v>3</v>
      </c>
      <c r="D1562" s="11" t="str">
        <f t="shared" si="34"/>
        <v>UN</v>
      </c>
      <c r="E1562" s="12">
        <v>21.450000000000006</v>
      </c>
      <c r="F1562" s="13">
        <v>0</v>
      </c>
      <c r="G1562" s="14" t="s">
        <v>198</v>
      </c>
    </row>
    <row r="1563" spans="1:7" x14ac:dyDescent="0.25">
      <c r="A1563" s="34" t="str">
        <f>"PIEZA 6450 SERIE A Nº 15"</f>
        <v>PIEZA 6450 SERIE A Nº 15</v>
      </c>
      <c r="B1563" s="2">
        <v>21</v>
      </c>
      <c r="C1563" s="2">
        <v>2</v>
      </c>
      <c r="D1563" s="11" t="str">
        <f t="shared" si="34"/>
        <v>UN</v>
      </c>
      <c r="E1563" s="12">
        <v>5.1150000000000011</v>
      </c>
      <c r="F1563" s="13">
        <v>0</v>
      </c>
      <c r="G1563" s="14" t="s">
        <v>198</v>
      </c>
    </row>
    <row r="1564" spans="1:7" x14ac:dyDescent="0.25">
      <c r="A1564" s="34" t="str">
        <f>"PIEZA 6450 SERIE A Nº 39"</f>
        <v>PIEZA 6450 SERIE A Nº 39</v>
      </c>
      <c r="B1564" s="2">
        <v>21</v>
      </c>
      <c r="C1564" s="2">
        <v>4</v>
      </c>
      <c r="D1564" s="11" t="str">
        <f t="shared" si="34"/>
        <v>UN</v>
      </c>
      <c r="E1564" s="12">
        <v>161.86500000000001</v>
      </c>
      <c r="F1564" s="13">
        <v>0</v>
      </c>
      <c r="G1564" s="14" t="s">
        <v>198</v>
      </c>
    </row>
    <row r="1565" spans="1:7" x14ac:dyDescent="0.25">
      <c r="A1565" s="34" t="str">
        <f>"PIEZA 6450 SERIE B Nº 03"</f>
        <v>PIEZA 6450 SERIE B Nº 03</v>
      </c>
      <c r="B1565" s="2">
        <v>21</v>
      </c>
      <c r="C1565" s="2">
        <v>2</v>
      </c>
      <c r="D1565" s="11" t="str">
        <f t="shared" si="34"/>
        <v>UN</v>
      </c>
      <c r="E1565" s="12">
        <v>0</v>
      </c>
      <c r="F1565" s="13">
        <v>0</v>
      </c>
      <c r="G1565" s="14" t="s">
        <v>198</v>
      </c>
    </row>
    <row r="1566" spans="1:7" x14ac:dyDescent="0.25">
      <c r="A1566" s="34" t="str">
        <f>"PIEZA 6450 SERIE B Nº 04"</f>
        <v>PIEZA 6450 SERIE B Nº 04</v>
      </c>
      <c r="B1566" s="2">
        <v>21</v>
      </c>
      <c r="C1566" s="2">
        <v>1</v>
      </c>
      <c r="D1566" s="11" t="str">
        <f t="shared" si="34"/>
        <v>UN</v>
      </c>
      <c r="E1566" s="12">
        <v>0</v>
      </c>
      <c r="F1566" s="13">
        <v>0</v>
      </c>
      <c r="G1566" s="14" t="s">
        <v>198</v>
      </c>
    </row>
    <row r="1567" spans="1:7" x14ac:dyDescent="0.25">
      <c r="A1567" s="34" t="str">
        <f>"PIEZA 6450 SERIE B Nº 06"</f>
        <v>PIEZA 6450 SERIE B Nº 06</v>
      </c>
      <c r="B1567" s="2">
        <v>21</v>
      </c>
      <c r="C1567" s="2">
        <v>1</v>
      </c>
      <c r="D1567" s="11" t="str">
        <f t="shared" si="34"/>
        <v>UN</v>
      </c>
      <c r="E1567" s="12">
        <v>0</v>
      </c>
      <c r="F1567" s="13">
        <v>0</v>
      </c>
      <c r="G1567" s="14" t="s">
        <v>198</v>
      </c>
    </row>
    <row r="1568" spans="1:7" x14ac:dyDescent="0.25">
      <c r="A1568" s="34" t="str">
        <f>"PIEZA 6450 SERIE B Nº 08"</f>
        <v>PIEZA 6450 SERIE B Nº 08</v>
      </c>
      <c r="B1568" s="2">
        <v>21</v>
      </c>
      <c r="C1568" s="2">
        <v>1</v>
      </c>
      <c r="D1568" s="11" t="str">
        <f t="shared" si="34"/>
        <v>UN</v>
      </c>
      <c r="E1568" s="12">
        <v>1.6500000000000004</v>
      </c>
      <c r="F1568" s="13">
        <v>0</v>
      </c>
      <c r="G1568" s="14" t="s">
        <v>198</v>
      </c>
    </row>
    <row r="1569" spans="1:7" x14ac:dyDescent="0.25">
      <c r="A1569" s="34" t="str">
        <f>"PIEZA 6450 SERIE B Nº 35"</f>
        <v>PIEZA 6450 SERIE B Nº 35</v>
      </c>
      <c r="B1569" s="2">
        <v>21</v>
      </c>
      <c r="C1569" s="2">
        <v>2</v>
      </c>
      <c r="D1569" s="11" t="str">
        <f t="shared" si="34"/>
        <v>UN</v>
      </c>
      <c r="E1569" s="12">
        <v>86.432500000000005</v>
      </c>
      <c r="F1569" s="13">
        <v>0</v>
      </c>
      <c r="G1569" s="14" t="s">
        <v>198</v>
      </c>
    </row>
    <row r="1570" spans="1:7" x14ac:dyDescent="0.25">
      <c r="A1570" s="34" t="str">
        <f>"PIEZA 6450 SERIE B Nº 37"</f>
        <v>PIEZA 6450 SERIE B Nº 37</v>
      </c>
      <c r="B1570" s="2">
        <v>21</v>
      </c>
      <c r="C1570" s="2">
        <v>4</v>
      </c>
      <c r="D1570" s="11" t="str">
        <f t="shared" si="34"/>
        <v>UN</v>
      </c>
      <c r="E1570" s="12">
        <v>11.77</v>
      </c>
      <c r="F1570" s="13">
        <v>0</v>
      </c>
      <c r="G1570" s="14" t="s">
        <v>198</v>
      </c>
    </row>
    <row r="1571" spans="1:7" x14ac:dyDescent="0.25">
      <c r="A1571" s="34" t="str">
        <f>"PIEZA 6453 SERIE A Nº 45"</f>
        <v>PIEZA 6453 SERIE A Nº 45</v>
      </c>
      <c r="B1571" s="2">
        <v>21</v>
      </c>
      <c r="C1571" s="2">
        <v>3</v>
      </c>
      <c r="D1571" s="11" t="str">
        <f t="shared" si="34"/>
        <v>UN</v>
      </c>
      <c r="E1571" s="12">
        <v>120.03750000000004</v>
      </c>
      <c r="F1571" s="13">
        <v>0</v>
      </c>
      <c r="G1571" s="14" t="s">
        <v>198</v>
      </c>
    </row>
    <row r="1572" spans="1:7" x14ac:dyDescent="0.25">
      <c r="A1572" s="34" t="str">
        <f>"PIEZA 6600 SERIE A Nº 11"</f>
        <v>PIEZA 6600 SERIE A Nº 11</v>
      </c>
      <c r="B1572" s="2">
        <v>21</v>
      </c>
      <c r="C1572" s="2">
        <v>1</v>
      </c>
      <c r="D1572" s="11" t="str">
        <f t="shared" si="34"/>
        <v>UN</v>
      </c>
      <c r="E1572" s="12">
        <v>0.48125000000000001</v>
      </c>
      <c r="F1572" s="13">
        <v>0</v>
      </c>
      <c r="G1572" s="14" t="s">
        <v>198</v>
      </c>
    </row>
    <row r="1573" spans="1:7" x14ac:dyDescent="0.25">
      <c r="A1573" s="34" t="str">
        <f>"PIEZA 6600 SERIE A Nº 15"</f>
        <v>PIEZA 6600 SERIE A Nº 15</v>
      </c>
      <c r="B1573" s="2">
        <v>21</v>
      </c>
      <c r="C1573" s="2">
        <v>29</v>
      </c>
      <c r="D1573" s="11" t="str">
        <f t="shared" si="34"/>
        <v>UN</v>
      </c>
      <c r="E1573" s="12">
        <v>364.45750000000004</v>
      </c>
      <c r="F1573" s="13">
        <v>0</v>
      </c>
      <c r="G1573" s="14" t="s">
        <v>198</v>
      </c>
    </row>
    <row r="1574" spans="1:7" x14ac:dyDescent="0.25">
      <c r="A1574" s="34" t="str">
        <f>"PIEZA 6600 SERIE A Nº 18"</f>
        <v>PIEZA 6600 SERIE A Nº 18</v>
      </c>
      <c r="B1574" s="2">
        <v>21</v>
      </c>
      <c r="C1574" s="2">
        <v>1</v>
      </c>
      <c r="D1574" s="11" t="str">
        <f t="shared" si="34"/>
        <v>UN</v>
      </c>
      <c r="E1574" s="12">
        <v>15.895000000000005</v>
      </c>
      <c r="F1574" s="13">
        <v>0</v>
      </c>
      <c r="G1574" s="14" t="s">
        <v>198</v>
      </c>
    </row>
    <row r="1575" spans="1:7" x14ac:dyDescent="0.25">
      <c r="A1575" s="34" t="str">
        <f>"PIEZA 6600 SERIE A Nº 25"</f>
        <v>PIEZA 6600 SERIE A Nº 25</v>
      </c>
      <c r="B1575" s="2">
        <v>21</v>
      </c>
      <c r="C1575" s="2">
        <v>3</v>
      </c>
      <c r="D1575" s="11" t="str">
        <f t="shared" si="34"/>
        <v>UN</v>
      </c>
      <c r="E1575" s="12">
        <v>77.797499999999999</v>
      </c>
      <c r="F1575" s="13">
        <v>0</v>
      </c>
      <c r="G1575" s="14" t="s">
        <v>198</v>
      </c>
    </row>
    <row r="1576" spans="1:7" x14ac:dyDescent="0.25">
      <c r="A1576" s="34" t="str">
        <f>"PIEZA 6605 SERIE B Nº 01"</f>
        <v>PIEZA 6605 SERIE B Nº 01</v>
      </c>
      <c r="B1576" s="2">
        <v>21</v>
      </c>
      <c r="C1576" s="2">
        <v>5</v>
      </c>
      <c r="D1576" s="11" t="str">
        <f t="shared" si="34"/>
        <v>UN</v>
      </c>
      <c r="E1576" s="12">
        <v>22.618749999999999</v>
      </c>
      <c r="F1576" s="13">
        <v>0</v>
      </c>
      <c r="G1576" s="14" t="s">
        <v>198</v>
      </c>
    </row>
    <row r="1577" spans="1:7" x14ac:dyDescent="0.25">
      <c r="A1577" s="34" t="str">
        <f>"PIEZA 6605 SERIE B Nº 02"</f>
        <v>PIEZA 6605 SERIE B Nº 02</v>
      </c>
      <c r="B1577" s="2">
        <v>21</v>
      </c>
      <c r="C1577" s="2">
        <v>2</v>
      </c>
      <c r="D1577" s="11" t="str">
        <f t="shared" si="34"/>
        <v>UN</v>
      </c>
      <c r="E1577" s="12">
        <v>29.864999999999995</v>
      </c>
      <c r="F1577" s="13">
        <v>0</v>
      </c>
      <c r="G1577" s="14" t="s">
        <v>198</v>
      </c>
    </row>
    <row r="1578" spans="1:7" x14ac:dyDescent="0.25">
      <c r="A1578" s="34" t="str">
        <f>"PIEZA 6605 SERIE B Nº 04"</f>
        <v>PIEZA 6605 SERIE B Nº 04</v>
      </c>
      <c r="B1578" s="2">
        <v>21</v>
      </c>
      <c r="C1578" s="2">
        <v>11</v>
      </c>
      <c r="D1578" s="11" t="str">
        <f t="shared" si="34"/>
        <v>UN</v>
      </c>
      <c r="E1578" s="12">
        <v>188.00375</v>
      </c>
      <c r="F1578" s="13">
        <v>0</v>
      </c>
      <c r="G1578" s="14" t="s">
        <v>198</v>
      </c>
    </row>
    <row r="1579" spans="1:7" x14ac:dyDescent="0.25">
      <c r="A1579" s="34" t="str">
        <f>"PIEZA 6605 SERIE B Nº 07"</f>
        <v>PIEZA 6605 SERIE B Nº 07</v>
      </c>
      <c r="B1579" s="2">
        <v>21</v>
      </c>
      <c r="C1579" s="2">
        <v>8</v>
      </c>
      <c r="D1579" s="11" t="str">
        <f t="shared" si="34"/>
        <v>UN</v>
      </c>
      <c r="E1579" s="12">
        <v>246.72999999999996</v>
      </c>
      <c r="F1579" s="13">
        <v>0</v>
      </c>
      <c r="G1579" s="14" t="s">
        <v>198</v>
      </c>
    </row>
    <row r="1580" spans="1:7" x14ac:dyDescent="0.25">
      <c r="A1580" s="34" t="str">
        <f>"PIEZA 6605 SERIE B Nº 09"</f>
        <v>PIEZA 6605 SERIE B Nº 09</v>
      </c>
      <c r="B1580" s="2">
        <v>21</v>
      </c>
      <c r="C1580" s="2">
        <v>10</v>
      </c>
      <c r="D1580" s="11" t="str">
        <f t="shared" si="34"/>
        <v>UN</v>
      </c>
      <c r="E1580" s="12">
        <v>72.324999999999989</v>
      </c>
      <c r="F1580" s="13">
        <v>0</v>
      </c>
      <c r="G1580" s="14" t="s">
        <v>198</v>
      </c>
    </row>
    <row r="1581" spans="1:7" x14ac:dyDescent="0.25">
      <c r="A1581" s="34" t="str">
        <f>"PIEZA 6605 SERIE B Nº 10"</f>
        <v>PIEZA 6605 SERIE B Nº 10</v>
      </c>
      <c r="B1581" s="2">
        <v>21</v>
      </c>
      <c r="C1581" s="2">
        <v>8</v>
      </c>
      <c r="D1581" s="11" t="str">
        <f t="shared" si="34"/>
        <v>UN</v>
      </c>
      <c r="E1581" s="12">
        <v>251.46000000000004</v>
      </c>
      <c r="F1581" s="13">
        <v>0</v>
      </c>
      <c r="G1581" s="14" t="s">
        <v>198</v>
      </c>
    </row>
    <row r="1582" spans="1:7" x14ac:dyDescent="0.25">
      <c r="A1582" s="34" t="str">
        <f>"PIEZA 6605 SERIE B Nº 11"</f>
        <v>PIEZA 6605 SERIE B Nº 11</v>
      </c>
      <c r="B1582" s="2">
        <v>21</v>
      </c>
      <c r="C1582" s="2">
        <v>8</v>
      </c>
      <c r="D1582" s="11" t="str">
        <f t="shared" si="34"/>
        <v>UN</v>
      </c>
      <c r="E1582" s="12">
        <v>122.54000000000003</v>
      </c>
      <c r="F1582" s="13">
        <v>0</v>
      </c>
      <c r="G1582" s="14" t="s">
        <v>198</v>
      </c>
    </row>
    <row r="1583" spans="1:7" x14ac:dyDescent="0.25">
      <c r="A1583" s="34" t="str">
        <f>"PIEZA 6605 SERIE B Nº 12"</f>
        <v>PIEZA 6605 SERIE B Nº 12</v>
      </c>
      <c r="B1583" s="2">
        <v>21</v>
      </c>
      <c r="C1583" s="2">
        <v>3</v>
      </c>
      <c r="D1583" s="11" t="str">
        <f t="shared" si="34"/>
        <v>UN</v>
      </c>
      <c r="E1583" s="12">
        <v>17.696249999999999</v>
      </c>
      <c r="F1583" s="13">
        <v>0</v>
      </c>
      <c r="G1583" s="14" t="s">
        <v>198</v>
      </c>
    </row>
    <row r="1584" spans="1:7" x14ac:dyDescent="0.25">
      <c r="A1584" s="34" t="str">
        <f>"PIEZA 6605 SERIE B Nº 15"</f>
        <v>PIEZA 6605 SERIE B Nº 15</v>
      </c>
      <c r="B1584" s="2">
        <v>21</v>
      </c>
      <c r="C1584" s="2">
        <v>24</v>
      </c>
      <c r="D1584" s="11" t="str">
        <f t="shared" si="34"/>
        <v>UN</v>
      </c>
      <c r="E1584" s="12">
        <v>14.190000000000001</v>
      </c>
      <c r="F1584" s="13">
        <v>0</v>
      </c>
      <c r="G1584" s="14" t="s">
        <v>198</v>
      </c>
    </row>
    <row r="1585" spans="1:7" x14ac:dyDescent="0.25">
      <c r="A1585" s="34" t="str">
        <f>"PIEZA 6605 SERIE B Nº 16"</f>
        <v>PIEZA 6605 SERIE B Nº 16</v>
      </c>
      <c r="B1585" s="2">
        <v>21</v>
      </c>
      <c r="C1585" s="2">
        <v>4</v>
      </c>
      <c r="D1585" s="11" t="str">
        <f t="shared" si="34"/>
        <v>UN</v>
      </c>
      <c r="E1585" s="12">
        <v>68.365000000000009</v>
      </c>
      <c r="F1585" s="13">
        <v>0</v>
      </c>
      <c r="G1585" s="14" t="s">
        <v>198</v>
      </c>
    </row>
    <row r="1586" spans="1:7" x14ac:dyDescent="0.25">
      <c r="A1586" s="34" t="str">
        <f>"PIEZA 6605 SERIE B Nº 19"</f>
        <v>PIEZA 6605 SERIE B Nº 19</v>
      </c>
      <c r="B1586" s="2">
        <v>21</v>
      </c>
      <c r="C1586" s="2">
        <v>1</v>
      </c>
      <c r="D1586" s="11" t="str">
        <f t="shared" si="34"/>
        <v>UN</v>
      </c>
      <c r="E1586" s="12">
        <v>23.100000000000005</v>
      </c>
      <c r="F1586" s="13">
        <v>0</v>
      </c>
      <c r="G1586" s="14" t="s">
        <v>198</v>
      </c>
    </row>
    <row r="1587" spans="1:7" x14ac:dyDescent="0.25">
      <c r="A1587" s="34" t="str">
        <f>"PIEZA 6605 SERIE B Nº 21"</f>
        <v>PIEZA 6605 SERIE B Nº 21</v>
      </c>
      <c r="B1587" s="2">
        <v>21</v>
      </c>
      <c r="C1587" s="2">
        <v>4</v>
      </c>
      <c r="D1587" s="11" t="str">
        <f t="shared" si="34"/>
        <v>UN</v>
      </c>
      <c r="E1587" s="12">
        <v>100.595</v>
      </c>
      <c r="F1587" s="13">
        <v>0</v>
      </c>
      <c r="G1587" s="14" t="s">
        <v>198</v>
      </c>
    </row>
    <row r="1588" spans="1:7" x14ac:dyDescent="0.25">
      <c r="A1588" s="34" t="str">
        <f>"PIEZA 6605 SERIE B Nº 22"</f>
        <v>PIEZA 6605 SERIE B Nº 22</v>
      </c>
      <c r="B1588" s="2">
        <v>21</v>
      </c>
      <c r="C1588" s="2">
        <v>3</v>
      </c>
      <c r="D1588" s="11" t="str">
        <f t="shared" si="34"/>
        <v>UN</v>
      </c>
      <c r="E1588" s="12">
        <v>40.672499999999999</v>
      </c>
      <c r="F1588" s="13">
        <v>0</v>
      </c>
      <c r="G1588" s="14" t="s">
        <v>198</v>
      </c>
    </row>
    <row r="1589" spans="1:7" x14ac:dyDescent="0.25">
      <c r="A1589" s="34" t="str">
        <f>"PIEZA 6605 SERIE B Nº 23"</f>
        <v>PIEZA 6605 SERIE B Nº 23</v>
      </c>
      <c r="B1589" s="2">
        <v>21</v>
      </c>
      <c r="C1589" s="2">
        <v>7</v>
      </c>
      <c r="D1589" s="11" t="str">
        <f t="shared" si="34"/>
        <v>UN</v>
      </c>
      <c r="E1589" s="12">
        <v>104.52750000000002</v>
      </c>
      <c r="F1589" s="13">
        <v>0</v>
      </c>
      <c r="G1589" s="14" t="s">
        <v>198</v>
      </c>
    </row>
    <row r="1590" spans="1:7" x14ac:dyDescent="0.25">
      <c r="A1590" s="34" t="str">
        <f>"PIEZA 6605 SERIE B Nº 24"</f>
        <v>PIEZA 6605 SERIE B Nº 24</v>
      </c>
      <c r="B1590" s="2">
        <v>21</v>
      </c>
      <c r="C1590" s="2">
        <v>6</v>
      </c>
      <c r="D1590" s="11" t="str">
        <f t="shared" si="34"/>
        <v>UN</v>
      </c>
      <c r="E1590" s="12">
        <v>37.702500000000001</v>
      </c>
      <c r="F1590" s="13">
        <v>0</v>
      </c>
      <c r="G1590" s="14" t="s">
        <v>198</v>
      </c>
    </row>
    <row r="1591" spans="1:7" x14ac:dyDescent="0.25">
      <c r="A1591" s="34" t="str">
        <f>"PIEZA 6605 SERIE B Nº 27"</f>
        <v>PIEZA 6605 SERIE B Nº 27</v>
      </c>
      <c r="B1591" s="2">
        <v>21</v>
      </c>
      <c r="C1591" s="2">
        <v>2</v>
      </c>
      <c r="D1591" s="11" t="str">
        <f t="shared" si="34"/>
        <v>UN</v>
      </c>
      <c r="E1591" s="12">
        <v>0</v>
      </c>
      <c r="F1591" s="13">
        <v>0</v>
      </c>
      <c r="G1591" s="14" t="s">
        <v>198</v>
      </c>
    </row>
    <row r="1592" spans="1:7" x14ac:dyDescent="0.25">
      <c r="A1592" s="34" t="str">
        <f>"PIEZA 6605 SERIE B Nº 29"</f>
        <v>PIEZA 6605 SERIE B Nº 29</v>
      </c>
      <c r="B1592" s="2">
        <v>21</v>
      </c>
      <c r="C1592" s="2">
        <v>5</v>
      </c>
      <c r="D1592" s="11" t="str">
        <f t="shared" si="34"/>
        <v>UN</v>
      </c>
      <c r="E1592" s="12">
        <v>21.725000000000001</v>
      </c>
      <c r="F1592" s="13">
        <v>0</v>
      </c>
      <c r="G1592" s="14" t="s">
        <v>198</v>
      </c>
    </row>
    <row r="1593" spans="1:7" x14ac:dyDescent="0.25">
      <c r="A1593" s="34" t="str">
        <f>"PIEZA 6605 SERIE B Nº 36"</f>
        <v>PIEZA 6605 SERIE B Nº 36</v>
      </c>
      <c r="B1593" s="2">
        <v>21</v>
      </c>
      <c r="C1593" s="2">
        <v>3</v>
      </c>
      <c r="D1593" s="11" t="str">
        <f t="shared" si="34"/>
        <v>UN</v>
      </c>
      <c r="E1593" s="12">
        <v>127.2975</v>
      </c>
      <c r="F1593" s="13">
        <v>0</v>
      </c>
      <c r="G1593" s="14" t="s">
        <v>198</v>
      </c>
    </row>
    <row r="1594" spans="1:7" x14ac:dyDescent="0.25">
      <c r="A1594" s="34" t="str">
        <f>"PIEZA 6605 SERIE B Nº 40 842161"</f>
        <v>PIEZA 6605 SERIE B Nº 40 842161</v>
      </c>
      <c r="B1594" s="2">
        <v>21</v>
      </c>
      <c r="C1594" s="2">
        <v>3</v>
      </c>
      <c r="D1594" s="11" t="str">
        <f t="shared" si="34"/>
        <v>UN</v>
      </c>
      <c r="E1594" s="12">
        <v>18.150000000000006</v>
      </c>
      <c r="F1594" s="13">
        <v>0</v>
      </c>
      <c r="G1594" s="14" t="s">
        <v>198</v>
      </c>
    </row>
    <row r="1595" spans="1:7" x14ac:dyDescent="0.25">
      <c r="A1595" s="34" t="str">
        <f>"PIEZA 6605 SERIE C Nº 01"</f>
        <v>PIEZA 6605 SERIE C Nº 01</v>
      </c>
      <c r="B1595" s="2">
        <v>21</v>
      </c>
      <c r="C1595" s="2">
        <v>2</v>
      </c>
      <c r="D1595" s="11" t="str">
        <f t="shared" si="34"/>
        <v>UN</v>
      </c>
      <c r="E1595" s="12">
        <v>11.275</v>
      </c>
      <c r="F1595" s="13">
        <v>0</v>
      </c>
      <c r="G1595" s="14" t="s">
        <v>198</v>
      </c>
    </row>
    <row r="1596" spans="1:7" x14ac:dyDescent="0.25">
      <c r="A1596" s="34" t="str">
        <f>"PIEZA 6605 SERIE C Nº 09"</f>
        <v>PIEZA 6605 SERIE C Nº 09</v>
      </c>
      <c r="B1596" s="2">
        <v>21</v>
      </c>
      <c r="C1596" s="2">
        <v>4</v>
      </c>
      <c r="D1596" s="11" t="str">
        <f t="shared" si="34"/>
        <v>UN</v>
      </c>
      <c r="E1596" s="12">
        <v>29.425000000000001</v>
      </c>
      <c r="F1596" s="13">
        <v>0</v>
      </c>
      <c r="G1596" s="14" t="s">
        <v>198</v>
      </c>
    </row>
    <row r="1597" spans="1:7" x14ac:dyDescent="0.25">
      <c r="A1597" s="34" t="str">
        <f>"PIEZA 6605 SERIE C Nº 13"</f>
        <v>PIEZA 6605 SERIE C Nº 13</v>
      </c>
      <c r="B1597" s="2">
        <v>21</v>
      </c>
      <c r="C1597" s="2">
        <v>7</v>
      </c>
      <c r="D1597" s="11" t="str">
        <f t="shared" si="34"/>
        <v>UN</v>
      </c>
      <c r="E1597" s="12">
        <v>36.574999999999996</v>
      </c>
      <c r="F1597" s="13">
        <v>0</v>
      </c>
      <c r="G1597" s="14" t="s">
        <v>198</v>
      </c>
    </row>
    <row r="1598" spans="1:7" x14ac:dyDescent="0.25">
      <c r="A1598" s="34" t="str">
        <f>"PIEZA 6605 SERIE C Nº 14"</f>
        <v>PIEZA 6605 SERIE C Nº 14</v>
      </c>
      <c r="B1598" s="2">
        <v>21</v>
      </c>
      <c r="C1598" s="2">
        <v>3</v>
      </c>
      <c r="D1598" s="11" t="str">
        <f t="shared" si="34"/>
        <v>UN</v>
      </c>
      <c r="E1598" s="12">
        <v>42.074999999999996</v>
      </c>
      <c r="F1598" s="13">
        <v>0</v>
      </c>
      <c r="G1598" s="14" t="s">
        <v>198</v>
      </c>
    </row>
    <row r="1599" spans="1:7" x14ac:dyDescent="0.25">
      <c r="A1599" s="34" t="str">
        <f>"PIEZA 6605 SERIE C Nº 15"</f>
        <v>PIEZA 6605 SERIE C Nº 15</v>
      </c>
      <c r="B1599" s="2">
        <v>21</v>
      </c>
      <c r="C1599" s="2">
        <v>2</v>
      </c>
      <c r="D1599" s="11" t="str">
        <f t="shared" si="34"/>
        <v>UN</v>
      </c>
      <c r="E1599" s="12">
        <v>1.3750000000000002</v>
      </c>
      <c r="F1599" s="13">
        <v>0</v>
      </c>
      <c r="G1599" s="14" t="s">
        <v>198</v>
      </c>
    </row>
    <row r="1600" spans="1:7" x14ac:dyDescent="0.25">
      <c r="A1600" s="34" t="str">
        <f>"PIEZA 6605 SERIE C Nº 37"</f>
        <v>PIEZA 6605 SERIE C Nº 37</v>
      </c>
      <c r="B1600" s="2">
        <v>21</v>
      </c>
      <c r="C1600" s="2">
        <v>13</v>
      </c>
      <c r="D1600" s="11" t="str">
        <f t="shared" si="34"/>
        <v>UN</v>
      </c>
      <c r="E1600" s="12">
        <v>26.276250000000001</v>
      </c>
      <c r="F1600" s="13">
        <v>0</v>
      </c>
      <c r="G1600" s="14" t="s">
        <v>198</v>
      </c>
    </row>
    <row r="1601" spans="1:7" x14ac:dyDescent="0.25">
      <c r="A1601" s="34" t="str">
        <f>"PIEZA 6605 SERIE C Nº 39 (842160)"</f>
        <v>PIEZA 6605 SERIE C Nº 39 (842160)</v>
      </c>
      <c r="B1601" s="2">
        <v>21</v>
      </c>
      <c r="C1601" s="2">
        <v>1</v>
      </c>
      <c r="D1601" s="11" t="str">
        <f t="shared" si="34"/>
        <v>UN</v>
      </c>
      <c r="E1601" s="12">
        <v>11.893750000000001</v>
      </c>
      <c r="F1601" s="13">
        <v>0</v>
      </c>
      <c r="G1601" s="14" t="s">
        <v>198</v>
      </c>
    </row>
    <row r="1602" spans="1:7" x14ac:dyDescent="0.25">
      <c r="A1602" s="34" t="str">
        <f>"PIEZA 6610 SERIE A Nº 03"</f>
        <v>PIEZA 6610 SERIE A Nº 03</v>
      </c>
      <c r="B1602" s="2">
        <v>21</v>
      </c>
      <c r="C1602" s="2">
        <v>2</v>
      </c>
      <c r="D1602" s="11" t="str">
        <f t="shared" si="34"/>
        <v>UN</v>
      </c>
      <c r="E1602" s="12">
        <v>251.43250000000006</v>
      </c>
      <c r="F1602" s="13">
        <v>0</v>
      </c>
      <c r="G1602" s="14" t="s">
        <v>198</v>
      </c>
    </row>
    <row r="1603" spans="1:7" x14ac:dyDescent="0.25">
      <c r="A1603" s="34" t="str">
        <f>"PIEZA 6610 SERIE A Nº 04"</f>
        <v>PIEZA 6610 SERIE A Nº 04</v>
      </c>
      <c r="B1603" s="2">
        <v>21</v>
      </c>
      <c r="C1603" s="2">
        <v>11</v>
      </c>
      <c r="D1603" s="11" t="str">
        <f t="shared" si="34"/>
        <v>UN</v>
      </c>
      <c r="E1603" s="12">
        <v>17.2425</v>
      </c>
      <c r="F1603" s="13">
        <v>0</v>
      </c>
      <c r="G1603" s="14" t="s">
        <v>198</v>
      </c>
    </row>
    <row r="1604" spans="1:7" x14ac:dyDescent="0.25">
      <c r="A1604" s="34" t="str">
        <f>"PIEZA 6610 SERIE A Nº 12"</f>
        <v>PIEZA 6610 SERIE A Nº 12</v>
      </c>
      <c r="B1604" s="2">
        <v>21</v>
      </c>
      <c r="C1604" s="2">
        <v>5</v>
      </c>
      <c r="D1604" s="11" t="str">
        <f t="shared" si="34"/>
        <v>UN</v>
      </c>
      <c r="E1604" s="12">
        <v>26.537500000000005</v>
      </c>
      <c r="F1604" s="13">
        <v>0</v>
      </c>
      <c r="G1604" s="14" t="s">
        <v>198</v>
      </c>
    </row>
    <row r="1605" spans="1:7" x14ac:dyDescent="0.25">
      <c r="A1605" s="34" t="str">
        <f>"PIEZA 6610 SERIE A Nº 19"</f>
        <v>PIEZA 6610 SERIE A Nº 19</v>
      </c>
      <c r="B1605" s="2">
        <v>21</v>
      </c>
      <c r="C1605" s="2">
        <v>2</v>
      </c>
      <c r="D1605" s="11" t="str">
        <f t="shared" si="34"/>
        <v>UN</v>
      </c>
      <c r="E1605" s="12">
        <v>73.452500000000015</v>
      </c>
      <c r="F1605" s="13">
        <v>0</v>
      </c>
      <c r="G1605" s="14" t="s">
        <v>198</v>
      </c>
    </row>
    <row r="1606" spans="1:7" x14ac:dyDescent="0.25">
      <c r="A1606" s="34" t="str">
        <f>"PIEZA 6610 SERIE A Nº 31"</f>
        <v>PIEZA 6610 SERIE A Nº 31</v>
      </c>
      <c r="B1606" s="2">
        <v>21</v>
      </c>
      <c r="C1606" s="2">
        <v>3</v>
      </c>
      <c r="D1606" s="11" t="str">
        <f t="shared" si="34"/>
        <v>UN</v>
      </c>
      <c r="E1606" s="12">
        <v>31.226250000000004</v>
      </c>
      <c r="F1606" s="13">
        <v>0</v>
      </c>
      <c r="G1606" s="14" t="s">
        <v>198</v>
      </c>
    </row>
    <row r="1607" spans="1:7" x14ac:dyDescent="0.25">
      <c r="A1607" s="34" t="str">
        <f>"PIEZA 6610 SERIE B Nº 05"</f>
        <v>PIEZA 6610 SERIE B Nº 05</v>
      </c>
      <c r="B1607" s="2">
        <v>21</v>
      </c>
      <c r="C1607" s="2">
        <v>2</v>
      </c>
      <c r="D1607" s="11" t="str">
        <f t="shared" si="34"/>
        <v>UN</v>
      </c>
      <c r="E1607" s="12">
        <v>5.3624999999999998</v>
      </c>
      <c r="F1607" s="13">
        <v>0</v>
      </c>
      <c r="G1607" s="14" t="s">
        <v>198</v>
      </c>
    </row>
    <row r="1608" spans="1:7" x14ac:dyDescent="0.25">
      <c r="A1608" s="34" t="str">
        <f>"PIEZA 6610 SERIE B Nº 21"</f>
        <v>PIEZA 6610 SERIE B Nº 21</v>
      </c>
      <c r="B1608" s="2">
        <v>21</v>
      </c>
      <c r="C1608" s="2">
        <v>10</v>
      </c>
      <c r="D1608" s="11" t="str">
        <f t="shared" si="34"/>
        <v>UN</v>
      </c>
      <c r="E1608" s="12">
        <v>0</v>
      </c>
      <c r="F1608" s="13">
        <v>0</v>
      </c>
      <c r="G1608" s="14" t="s">
        <v>198</v>
      </c>
    </row>
    <row r="1609" spans="1:7" x14ac:dyDescent="0.25">
      <c r="A1609" s="34" t="str">
        <f>"PIEZA 6610 SERIE B Nº 29"</f>
        <v>PIEZA 6610 SERIE B Nº 29</v>
      </c>
      <c r="B1609" s="2">
        <v>21</v>
      </c>
      <c r="C1609" s="2">
        <v>12</v>
      </c>
      <c r="D1609" s="11" t="str">
        <f t="shared" si="34"/>
        <v>UN</v>
      </c>
      <c r="E1609" s="12">
        <v>157.90500000000003</v>
      </c>
      <c r="F1609" s="13">
        <v>0</v>
      </c>
      <c r="G1609" s="14" t="s">
        <v>198</v>
      </c>
    </row>
    <row r="1610" spans="1:7" x14ac:dyDescent="0.25">
      <c r="A1610" s="34" t="str">
        <f>"PIEZA 6610 SERIE B Nº 30"</f>
        <v>PIEZA 6610 SERIE B Nº 30</v>
      </c>
      <c r="B1610" s="2">
        <v>21</v>
      </c>
      <c r="C1610" s="2">
        <v>6</v>
      </c>
      <c r="D1610" s="11" t="str">
        <f t="shared" ref="D1610:D1673" si="35">"UN"</f>
        <v>UN</v>
      </c>
      <c r="E1610" s="12">
        <v>548.04750000000001</v>
      </c>
      <c r="F1610" s="13">
        <v>0</v>
      </c>
      <c r="G1610" s="14" t="s">
        <v>198</v>
      </c>
    </row>
    <row r="1611" spans="1:7" x14ac:dyDescent="0.25">
      <c r="A1611" s="34" t="str">
        <f>"PIEZA 6610 SERIE C Nº 23"</f>
        <v>PIEZA 6610 SERIE C Nº 23</v>
      </c>
      <c r="B1611" s="2">
        <v>21</v>
      </c>
      <c r="C1611" s="2">
        <v>11</v>
      </c>
      <c r="D1611" s="11" t="str">
        <f t="shared" si="35"/>
        <v>UN</v>
      </c>
      <c r="E1611" s="12">
        <v>31.762500000000003</v>
      </c>
      <c r="F1611" s="13">
        <v>0</v>
      </c>
      <c r="G1611" s="14" t="s">
        <v>198</v>
      </c>
    </row>
    <row r="1612" spans="1:7" x14ac:dyDescent="0.25">
      <c r="A1612" s="34" t="str">
        <f>"PIEZA 6610 SERIE C Nº 25"</f>
        <v>PIEZA 6610 SERIE C Nº 25</v>
      </c>
      <c r="B1612" s="2">
        <v>21</v>
      </c>
      <c r="C1612" s="2">
        <v>2</v>
      </c>
      <c r="D1612" s="11" t="str">
        <f t="shared" si="35"/>
        <v>UN</v>
      </c>
      <c r="E1612" s="12">
        <v>103.12500000000001</v>
      </c>
      <c r="F1612" s="13">
        <v>0</v>
      </c>
      <c r="G1612" s="14" t="s">
        <v>198</v>
      </c>
    </row>
    <row r="1613" spans="1:7" x14ac:dyDescent="0.25">
      <c r="A1613" s="34" t="str">
        <f>"PIEZA 6610 SERIE D Nº 43"</f>
        <v>PIEZA 6610 SERIE D Nº 43</v>
      </c>
      <c r="B1613" s="2">
        <v>21</v>
      </c>
      <c r="C1613" s="2">
        <v>1</v>
      </c>
      <c r="D1613" s="11" t="str">
        <f t="shared" si="35"/>
        <v>UN</v>
      </c>
      <c r="E1613" s="12">
        <v>2.9562499999999998</v>
      </c>
      <c r="F1613" s="13">
        <v>0</v>
      </c>
      <c r="G1613" s="14" t="s">
        <v>198</v>
      </c>
    </row>
    <row r="1614" spans="1:7" x14ac:dyDescent="0.25">
      <c r="A1614" s="34" t="str">
        <f>"PIEZA 6700 SERIE A Nº 01D BOQUILLA"</f>
        <v>PIEZA 6700 SERIE A Nº 01D BOQUILLA</v>
      </c>
      <c r="B1614" s="2">
        <v>21</v>
      </c>
      <c r="C1614" s="2">
        <v>1</v>
      </c>
      <c r="D1614" s="11" t="str">
        <f t="shared" si="35"/>
        <v>UN</v>
      </c>
      <c r="E1614" s="12">
        <v>2.3512499999999998</v>
      </c>
      <c r="F1614" s="13">
        <v>0</v>
      </c>
      <c r="G1614" s="14" t="s">
        <v>198</v>
      </c>
    </row>
    <row r="1615" spans="1:7" x14ac:dyDescent="0.25">
      <c r="A1615" s="34" t="str">
        <f>"PIEZA 6700 SERIE A Nº 05"</f>
        <v>PIEZA 6700 SERIE A Nº 05</v>
      </c>
      <c r="B1615" s="2">
        <v>21</v>
      </c>
      <c r="C1615" s="2">
        <v>38</v>
      </c>
      <c r="D1615" s="11" t="str">
        <f t="shared" si="35"/>
        <v>UN</v>
      </c>
      <c r="E1615" s="12">
        <v>29.782499999999999</v>
      </c>
      <c r="F1615" s="13">
        <v>0</v>
      </c>
      <c r="G1615" s="14" t="s">
        <v>198</v>
      </c>
    </row>
    <row r="1616" spans="1:7" x14ac:dyDescent="0.25">
      <c r="A1616" s="34" t="str">
        <f>"PIEZA 6700 SERIE A Nº 07 (JUEGO 2 UNID.)"</f>
        <v>PIEZA 6700 SERIE A Nº 07 (JUEGO 2 UNID.)</v>
      </c>
      <c r="B1616" s="2">
        <v>21</v>
      </c>
      <c r="C1616" s="2">
        <v>4</v>
      </c>
      <c r="D1616" s="11" t="str">
        <f t="shared" si="35"/>
        <v>UN</v>
      </c>
      <c r="E1616" s="12">
        <v>85.800000000000011</v>
      </c>
      <c r="F1616" s="13">
        <v>0</v>
      </c>
      <c r="G1616" s="14" t="s">
        <v>198</v>
      </c>
    </row>
    <row r="1617" spans="1:7" x14ac:dyDescent="0.25">
      <c r="A1617" s="34" t="str">
        <f>"PIEZA 6700 SERIE A Nº 09"</f>
        <v>PIEZA 6700 SERIE A Nº 09</v>
      </c>
      <c r="B1617" s="2">
        <v>21</v>
      </c>
      <c r="C1617" s="2">
        <v>20</v>
      </c>
      <c r="D1617" s="11" t="str">
        <f t="shared" si="35"/>
        <v>UN</v>
      </c>
      <c r="E1617" s="12">
        <v>15.674999999999999</v>
      </c>
      <c r="F1617" s="13">
        <v>0</v>
      </c>
      <c r="G1617" s="14" t="s">
        <v>198</v>
      </c>
    </row>
    <row r="1618" spans="1:7" x14ac:dyDescent="0.25">
      <c r="A1618" s="34" t="str">
        <f>"PIEZA 6700 SERIE A Nº 10 (MUELLE)"</f>
        <v>PIEZA 6700 SERIE A Nº 10 (MUELLE)</v>
      </c>
      <c r="B1618" s="2">
        <v>21</v>
      </c>
      <c r="C1618" s="2">
        <v>14</v>
      </c>
      <c r="D1618" s="11" t="str">
        <f t="shared" si="35"/>
        <v>UN</v>
      </c>
      <c r="E1618" s="12">
        <v>16.555</v>
      </c>
      <c r="F1618" s="13">
        <v>0</v>
      </c>
      <c r="G1618" s="14" t="s">
        <v>198</v>
      </c>
    </row>
    <row r="1619" spans="1:7" x14ac:dyDescent="0.25">
      <c r="A1619" s="34" t="str">
        <f>"PIEZA 6700 SERIE A Nº 12"</f>
        <v>PIEZA 6700 SERIE A Nº 12</v>
      </c>
      <c r="B1619" s="2">
        <v>21</v>
      </c>
      <c r="C1619" s="2">
        <v>34</v>
      </c>
      <c r="D1619" s="11" t="str">
        <f t="shared" si="35"/>
        <v>UN</v>
      </c>
      <c r="E1619" s="12">
        <v>66.852499999999992</v>
      </c>
      <c r="F1619" s="13">
        <v>0</v>
      </c>
      <c r="G1619" s="14" t="s">
        <v>198</v>
      </c>
    </row>
    <row r="1620" spans="1:7" x14ac:dyDescent="0.25">
      <c r="A1620" s="34" t="str">
        <f>"PIEZA 6700 SERIE A Nº 13"</f>
        <v>PIEZA 6700 SERIE A Nº 13</v>
      </c>
      <c r="B1620" s="2">
        <v>21</v>
      </c>
      <c r="C1620" s="2">
        <v>5</v>
      </c>
      <c r="D1620" s="11" t="str">
        <f t="shared" si="35"/>
        <v>UN</v>
      </c>
      <c r="E1620" s="12">
        <v>4.8812499999999996</v>
      </c>
      <c r="F1620" s="13">
        <v>0</v>
      </c>
      <c r="G1620" s="14" t="s">
        <v>198</v>
      </c>
    </row>
    <row r="1621" spans="1:7" x14ac:dyDescent="0.25">
      <c r="A1621" s="34" t="str">
        <f>"PIEZA 6700 SERIE A Nº 15"</f>
        <v>PIEZA 6700 SERIE A Nº 15</v>
      </c>
      <c r="B1621" s="2">
        <v>21</v>
      </c>
      <c r="C1621" s="2">
        <v>9</v>
      </c>
      <c r="D1621" s="11" t="str">
        <f t="shared" si="35"/>
        <v>UN</v>
      </c>
      <c r="E1621" s="12">
        <v>862.66125</v>
      </c>
      <c r="F1621" s="13">
        <v>0</v>
      </c>
      <c r="G1621" s="14" t="s">
        <v>198</v>
      </c>
    </row>
    <row r="1622" spans="1:7" x14ac:dyDescent="0.25">
      <c r="A1622" s="34" t="str">
        <f>"PIEZA 6700 SERIE A Nº 16"</f>
        <v>PIEZA 6700 SERIE A Nº 16</v>
      </c>
      <c r="B1622" s="2">
        <v>21</v>
      </c>
      <c r="C1622" s="2">
        <v>2</v>
      </c>
      <c r="D1622" s="11" t="str">
        <f t="shared" si="35"/>
        <v>UN</v>
      </c>
      <c r="E1622" s="12">
        <v>67.56750000000001</v>
      </c>
      <c r="F1622" s="13">
        <v>0</v>
      </c>
      <c r="G1622" s="14" t="s">
        <v>198</v>
      </c>
    </row>
    <row r="1623" spans="1:7" x14ac:dyDescent="0.25">
      <c r="A1623" s="34" t="str">
        <f>"PIEZA 6700 SERIE A Nº 17"</f>
        <v>PIEZA 6700 SERIE A Nº 17</v>
      </c>
      <c r="B1623" s="2">
        <v>21</v>
      </c>
      <c r="C1623" s="2">
        <v>36</v>
      </c>
      <c r="D1623" s="11" t="str">
        <f t="shared" si="35"/>
        <v>UN</v>
      </c>
      <c r="E1623" s="12">
        <v>84.644999999999996</v>
      </c>
      <c r="F1623" s="13">
        <v>0</v>
      </c>
      <c r="G1623" s="14" t="s">
        <v>198</v>
      </c>
    </row>
    <row r="1624" spans="1:7" x14ac:dyDescent="0.25">
      <c r="A1624" s="34" t="str">
        <f>"PIEZA 6700 SERIE A Nº 18"</f>
        <v>PIEZA 6700 SERIE A Nº 18</v>
      </c>
      <c r="B1624" s="2">
        <v>21</v>
      </c>
      <c r="C1624" s="2">
        <v>23</v>
      </c>
      <c r="D1624" s="11" t="str">
        <f t="shared" si="35"/>
        <v>UN</v>
      </c>
      <c r="E1624" s="12">
        <v>54.078749999999992</v>
      </c>
      <c r="F1624" s="13">
        <v>0</v>
      </c>
      <c r="G1624" s="14" t="s">
        <v>198</v>
      </c>
    </row>
    <row r="1625" spans="1:7" x14ac:dyDescent="0.25">
      <c r="A1625" s="34" t="str">
        <f>"PIEZA 6700 SERIE A Nº 20"</f>
        <v>PIEZA 6700 SERIE A Nº 20</v>
      </c>
      <c r="B1625" s="2">
        <v>21</v>
      </c>
      <c r="C1625" s="2">
        <v>7</v>
      </c>
      <c r="D1625" s="11" t="str">
        <f t="shared" si="35"/>
        <v>UN</v>
      </c>
      <c r="E1625" s="12">
        <v>18.287499999999998</v>
      </c>
      <c r="F1625" s="13">
        <v>0</v>
      </c>
      <c r="G1625" s="14" t="s">
        <v>198</v>
      </c>
    </row>
    <row r="1626" spans="1:7" x14ac:dyDescent="0.25">
      <c r="A1626" s="34" t="str">
        <f>"PIEZA 6700 SERIE A Nº 21"</f>
        <v>PIEZA 6700 SERIE A Nº 21</v>
      </c>
      <c r="B1626" s="2">
        <v>21</v>
      </c>
      <c r="C1626" s="2">
        <v>3</v>
      </c>
      <c r="D1626" s="11" t="str">
        <f t="shared" si="35"/>
        <v>UN</v>
      </c>
      <c r="E1626" s="12">
        <v>72.476250000000007</v>
      </c>
      <c r="F1626" s="13">
        <v>0</v>
      </c>
      <c r="G1626" s="14" t="s">
        <v>198</v>
      </c>
    </row>
    <row r="1627" spans="1:7" x14ac:dyDescent="0.25">
      <c r="A1627" s="34" t="str">
        <f>"PIEZA 6700 SERIE A Nº 25"</f>
        <v>PIEZA 6700 SERIE A Nº 25</v>
      </c>
      <c r="B1627" s="2">
        <v>21</v>
      </c>
      <c r="C1627" s="2">
        <v>10</v>
      </c>
      <c r="D1627" s="11" t="str">
        <f t="shared" si="35"/>
        <v>UN</v>
      </c>
      <c r="E1627" s="12">
        <v>15.125000000000002</v>
      </c>
      <c r="F1627" s="13">
        <v>0</v>
      </c>
      <c r="G1627" s="14" t="s">
        <v>198</v>
      </c>
    </row>
    <row r="1628" spans="1:7" x14ac:dyDescent="0.25">
      <c r="A1628" s="34" t="str">
        <f>"PIEZA 6700 SERIE A Nº 26"</f>
        <v>PIEZA 6700 SERIE A Nº 26</v>
      </c>
      <c r="B1628" s="2">
        <v>21</v>
      </c>
      <c r="C1628" s="2">
        <v>5</v>
      </c>
      <c r="D1628" s="11" t="str">
        <f t="shared" si="35"/>
        <v>UN</v>
      </c>
      <c r="E1628" s="12">
        <v>7.90625</v>
      </c>
      <c r="F1628" s="13">
        <v>0</v>
      </c>
      <c r="G1628" s="14" t="s">
        <v>198</v>
      </c>
    </row>
    <row r="1629" spans="1:7" x14ac:dyDescent="0.25">
      <c r="A1629" s="34" t="str">
        <f>"PIEZA 6700 SERIE A Nº 30-1"</f>
        <v>PIEZA 6700 SERIE A Nº 30-1</v>
      </c>
      <c r="B1629" s="2">
        <v>21</v>
      </c>
      <c r="C1629" s="2">
        <v>3</v>
      </c>
      <c r="D1629" s="11" t="str">
        <f t="shared" si="35"/>
        <v>UN</v>
      </c>
      <c r="E1629" s="12">
        <v>72.476250000000007</v>
      </c>
      <c r="F1629" s="13">
        <v>0</v>
      </c>
      <c r="G1629" s="14" t="s">
        <v>198</v>
      </c>
    </row>
    <row r="1630" spans="1:7" x14ac:dyDescent="0.25">
      <c r="A1630" s="34" t="str">
        <f>"PIEZA 6700 SERIE A Nº 32"</f>
        <v>PIEZA 6700 SERIE A Nº 32</v>
      </c>
      <c r="B1630" s="2">
        <v>21</v>
      </c>
      <c r="C1630" s="2">
        <v>6</v>
      </c>
      <c r="D1630" s="11" t="str">
        <f t="shared" si="35"/>
        <v>UN</v>
      </c>
      <c r="E1630" s="12">
        <v>0</v>
      </c>
      <c r="F1630" s="13">
        <v>0</v>
      </c>
      <c r="G1630" s="14" t="s">
        <v>198</v>
      </c>
    </row>
    <row r="1631" spans="1:7" x14ac:dyDescent="0.25">
      <c r="A1631" s="34" t="str">
        <f>"PIEZA 6700 SERIE A Nº 33"</f>
        <v>PIEZA 6700 SERIE A Nº 33</v>
      </c>
      <c r="B1631" s="2">
        <v>21</v>
      </c>
      <c r="C1631" s="2">
        <v>2</v>
      </c>
      <c r="D1631" s="11" t="str">
        <f t="shared" si="35"/>
        <v>UN</v>
      </c>
      <c r="E1631" s="12">
        <v>51.01250000000001</v>
      </c>
      <c r="F1631" s="13">
        <v>0</v>
      </c>
      <c r="G1631" s="14" t="s">
        <v>198</v>
      </c>
    </row>
    <row r="1632" spans="1:7" x14ac:dyDescent="0.25">
      <c r="A1632" s="34" t="str">
        <f>"PIEZA 6700 SERIE A Nº 36"</f>
        <v>PIEZA 6700 SERIE A Nº 36</v>
      </c>
      <c r="B1632" s="2">
        <v>21</v>
      </c>
      <c r="C1632" s="2">
        <v>4</v>
      </c>
      <c r="D1632" s="11" t="str">
        <f t="shared" si="35"/>
        <v>UN</v>
      </c>
      <c r="E1632" s="12">
        <v>20.9</v>
      </c>
      <c r="F1632" s="13">
        <v>0</v>
      </c>
      <c r="G1632" s="14" t="s">
        <v>198</v>
      </c>
    </row>
    <row r="1633" spans="1:7" x14ac:dyDescent="0.25">
      <c r="A1633" s="34" t="str">
        <f>"PIEZA 6700 SERIE A Nº 37"</f>
        <v>PIEZA 6700 SERIE A Nº 37</v>
      </c>
      <c r="B1633" s="2">
        <v>21</v>
      </c>
      <c r="C1633" s="2">
        <v>10</v>
      </c>
      <c r="D1633" s="11" t="str">
        <f t="shared" si="35"/>
        <v>UN</v>
      </c>
      <c r="E1633" s="12">
        <v>8.9375000000000018</v>
      </c>
      <c r="F1633" s="13">
        <v>0</v>
      </c>
      <c r="G1633" s="14" t="s">
        <v>198</v>
      </c>
    </row>
    <row r="1634" spans="1:7" x14ac:dyDescent="0.25">
      <c r="A1634" s="34" t="str">
        <f>"PIEZA 6700 SERIE A Nº 38"</f>
        <v>PIEZA 6700 SERIE A Nº 38</v>
      </c>
      <c r="B1634" s="2">
        <v>21</v>
      </c>
      <c r="C1634" s="2">
        <v>3</v>
      </c>
      <c r="D1634" s="11" t="str">
        <f t="shared" si="35"/>
        <v>UN</v>
      </c>
      <c r="E1634" s="12">
        <v>3.0937500000000009</v>
      </c>
      <c r="F1634" s="13">
        <v>0</v>
      </c>
      <c r="G1634" s="14" t="s">
        <v>198</v>
      </c>
    </row>
    <row r="1635" spans="1:7" x14ac:dyDescent="0.25">
      <c r="A1635" s="34" t="str">
        <f>"PIEZA 6700 SERIE A Nº 40"</f>
        <v>PIEZA 6700 SERIE A Nº 40</v>
      </c>
      <c r="B1635" s="2">
        <v>21</v>
      </c>
      <c r="C1635" s="2">
        <v>8</v>
      </c>
      <c r="D1635" s="11" t="str">
        <f t="shared" si="35"/>
        <v>UN</v>
      </c>
      <c r="E1635" s="12">
        <v>63.250000000000007</v>
      </c>
      <c r="F1635" s="13">
        <v>0</v>
      </c>
      <c r="G1635" s="14" t="s">
        <v>198</v>
      </c>
    </row>
    <row r="1636" spans="1:7" x14ac:dyDescent="0.25">
      <c r="A1636" s="34" t="str">
        <f>"PIEZA 6700 SERIE A Nº 41"</f>
        <v>PIEZA 6700 SERIE A Nº 41</v>
      </c>
      <c r="B1636" s="2">
        <v>21</v>
      </c>
      <c r="C1636" s="2">
        <v>9</v>
      </c>
      <c r="D1636" s="11" t="str">
        <f t="shared" si="35"/>
        <v>UN</v>
      </c>
      <c r="E1636" s="12">
        <v>7.05375</v>
      </c>
      <c r="F1636" s="13">
        <v>0</v>
      </c>
      <c r="G1636" s="14" t="s">
        <v>198</v>
      </c>
    </row>
    <row r="1637" spans="1:7" x14ac:dyDescent="0.25">
      <c r="A1637" s="34" t="str">
        <f>"PIEZA 6700 SERIE A Nº 42"</f>
        <v>PIEZA 6700 SERIE A Nº 42</v>
      </c>
      <c r="B1637" s="2">
        <v>21</v>
      </c>
      <c r="C1637" s="2">
        <v>7</v>
      </c>
      <c r="D1637" s="11" t="str">
        <f t="shared" si="35"/>
        <v>UN</v>
      </c>
      <c r="E1637" s="12">
        <v>34.168750000000003</v>
      </c>
      <c r="F1637" s="13">
        <v>0</v>
      </c>
      <c r="G1637" s="14" t="s">
        <v>198</v>
      </c>
    </row>
    <row r="1638" spans="1:7" x14ac:dyDescent="0.25">
      <c r="A1638" s="34" t="str">
        <f>"PIEZA 6700 SERIE A Nº 43A"</f>
        <v>PIEZA 6700 SERIE A Nº 43A</v>
      </c>
      <c r="B1638" s="2">
        <v>21</v>
      </c>
      <c r="C1638" s="2">
        <v>5</v>
      </c>
      <c r="D1638" s="11" t="str">
        <f t="shared" si="35"/>
        <v>UN</v>
      </c>
      <c r="E1638" s="12">
        <v>4.8812500000000005</v>
      </c>
      <c r="F1638" s="13">
        <v>0</v>
      </c>
      <c r="G1638" s="14" t="s">
        <v>198</v>
      </c>
    </row>
    <row r="1639" spans="1:7" x14ac:dyDescent="0.25">
      <c r="A1639" s="34" t="str">
        <f>"PIEZA 6700 SERIE A Nº 44"</f>
        <v>PIEZA 6700 SERIE A Nº 44</v>
      </c>
      <c r="B1639" s="2">
        <v>21</v>
      </c>
      <c r="C1639" s="2">
        <v>6</v>
      </c>
      <c r="D1639" s="11" t="str">
        <f t="shared" si="35"/>
        <v>UN</v>
      </c>
      <c r="E1639" s="12">
        <v>58.904999999999987</v>
      </c>
      <c r="F1639" s="13">
        <v>0</v>
      </c>
      <c r="G1639" s="14" t="s">
        <v>198</v>
      </c>
    </row>
    <row r="1640" spans="1:7" x14ac:dyDescent="0.25">
      <c r="A1640" s="34" t="str">
        <f>"PIEZA 6700 SERIE A Nº 45"</f>
        <v>PIEZA 6700 SERIE A Nº 45</v>
      </c>
      <c r="B1640" s="2">
        <v>21</v>
      </c>
      <c r="C1640" s="2">
        <v>22</v>
      </c>
      <c r="D1640" s="11" t="str">
        <f t="shared" si="35"/>
        <v>UN</v>
      </c>
      <c r="E1640" s="12">
        <v>63.525000000000006</v>
      </c>
      <c r="F1640" s="13">
        <v>0</v>
      </c>
      <c r="G1640" s="14" t="s">
        <v>198</v>
      </c>
    </row>
    <row r="1641" spans="1:7" x14ac:dyDescent="0.25">
      <c r="A1641" s="34" t="str">
        <f>"PIEZA 6700 SERIE A Nº 45A"</f>
        <v>PIEZA 6700 SERIE A Nº 45A</v>
      </c>
      <c r="B1641" s="2">
        <v>21</v>
      </c>
      <c r="C1641" s="2">
        <v>4</v>
      </c>
      <c r="D1641" s="11" t="str">
        <f t="shared" si="35"/>
        <v>UN</v>
      </c>
      <c r="E1641" s="12">
        <v>3.9049999999999998</v>
      </c>
      <c r="F1641" s="13">
        <v>0</v>
      </c>
      <c r="G1641" s="14" t="s">
        <v>198</v>
      </c>
    </row>
    <row r="1642" spans="1:7" x14ac:dyDescent="0.25">
      <c r="A1642" s="34" t="str">
        <f>"PIEZA 6700 SERIE A Nº 46"</f>
        <v>PIEZA 6700 SERIE A Nº 46</v>
      </c>
      <c r="B1642" s="2">
        <v>21</v>
      </c>
      <c r="C1642" s="2">
        <v>11</v>
      </c>
      <c r="D1642" s="11" t="str">
        <f t="shared" si="35"/>
        <v>UN</v>
      </c>
      <c r="E1642" s="12">
        <v>21.628749999999997</v>
      </c>
      <c r="F1642" s="13">
        <v>0</v>
      </c>
      <c r="G1642" s="14" t="s">
        <v>198</v>
      </c>
    </row>
    <row r="1643" spans="1:7" x14ac:dyDescent="0.25">
      <c r="A1643" s="34" t="str">
        <f>"PIEZA 6700 SERIE A Nº 52"</f>
        <v>PIEZA 6700 SERIE A Nº 52</v>
      </c>
      <c r="B1643" s="2">
        <v>21</v>
      </c>
      <c r="C1643" s="2">
        <v>3</v>
      </c>
      <c r="D1643" s="11" t="str">
        <f t="shared" si="35"/>
        <v>UN</v>
      </c>
      <c r="E1643" s="12">
        <v>17.696249999999999</v>
      </c>
      <c r="F1643" s="13">
        <v>0</v>
      </c>
      <c r="G1643" s="14" t="s">
        <v>198</v>
      </c>
    </row>
    <row r="1644" spans="1:7" x14ac:dyDescent="0.25">
      <c r="A1644" s="34" t="str">
        <f>"PIEZA 6700 SERIE B Nº 01-1"</f>
        <v>PIEZA 6700 SERIE B Nº 01-1</v>
      </c>
      <c r="B1644" s="2">
        <v>21</v>
      </c>
      <c r="C1644" s="2">
        <v>6</v>
      </c>
      <c r="D1644" s="11" t="str">
        <f t="shared" si="35"/>
        <v>UN</v>
      </c>
      <c r="E1644" s="12">
        <v>8.25</v>
      </c>
      <c r="F1644" s="13">
        <v>0</v>
      </c>
      <c r="G1644" s="14" t="s">
        <v>198</v>
      </c>
    </row>
    <row r="1645" spans="1:7" x14ac:dyDescent="0.25">
      <c r="A1645" s="34" t="str">
        <f>"PIEZA 6700 SERIE B Nº 19"</f>
        <v>PIEZA 6700 SERIE B Nº 19</v>
      </c>
      <c r="B1645" s="2">
        <v>21</v>
      </c>
      <c r="C1645" s="2">
        <v>5</v>
      </c>
      <c r="D1645" s="11" t="str">
        <f t="shared" si="35"/>
        <v>UN</v>
      </c>
      <c r="E1645" s="12">
        <v>37.468750000000007</v>
      </c>
      <c r="F1645" s="13">
        <v>0</v>
      </c>
      <c r="G1645" s="14" t="s">
        <v>198</v>
      </c>
    </row>
    <row r="1646" spans="1:7" x14ac:dyDescent="0.25">
      <c r="A1646" s="34" t="str">
        <f>"PIEZA 6700 SERIE B Nº 27"</f>
        <v>PIEZA 6700 SERIE B Nº 27</v>
      </c>
      <c r="B1646" s="2">
        <v>21</v>
      </c>
      <c r="C1646" s="2">
        <v>1</v>
      </c>
      <c r="D1646" s="11" t="str">
        <f t="shared" si="35"/>
        <v>UN</v>
      </c>
      <c r="E1646" s="12">
        <v>5.6375000000000002</v>
      </c>
      <c r="F1646" s="13">
        <v>0</v>
      </c>
      <c r="G1646" s="14" t="s">
        <v>198</v>
      </c>
    </row>
    <row r="1647" spans="1:7" x14ac:dyDescent="0.25">
      <c r="A1647" s="34" t="str">
        <f>"PIEZA 6700 SERIE B Nº10-1"</f>
        <v>PIEZA 6700 SERIE B Nº10-1</v>
      </c>
      <c r="B1647" s="2">
        <v>21</v>
      </c>
      <c r="C1647" s="2">
        <v>2</v>
      </c>
      <c r="D1647" s="11" t="str">
        <f t="shared" si="35"/>
        <v>UN</v>
      </c>
      <c r="E1647" s="12">
        <v>4.4000000000000004</v>
      </c>
      <c r="F1647" s="13">
        <v>0</v>
      </c>
      <c r="G1647" s="14" t="s">
        <v>198</v>
      </c>
    </row>
    <row r="1648" spans="1:7" x14ac:dyDescent="0.25">
      <c r="A1648" s="34" t="str">
        <f>"PIEZA 6710 SERIE A Nº 01-06"</f>
        <v>PIEZA 6710 SERIE A Nº 01-06</v>
      </c>
      <c r="B1648" s="2">
        <v>21</v>
      </c>
      <c r="C1648" s="2">
        <v>2</v>
      </c>
      <c r="D1648" s="11" t="str">
        <f t="shared" si="35"/>
        <v>UN</v>
      </c>
      <c r="E1648" s="12">
        <v>0</v>
      </c>
      <c r="F1648" s="13">
        <v>0</v>
      </c>
      <c r="G1648" s="14" t="s">
        <v>198</v>
      </c>
    </row>
    <row r="1649" spans="1:7" x14ac:dyDescent="0.25">
      <c r="A1649" s="34" t="str">
        <f>"PIEZA 6710 SERIE A Nº 06-1-1"</f>
        <v>PIEZA 6710 SERIE A Nº 06-1-1</v>
      </c>
      <c r="B1649" s="2">
        <v>21</v>
      </c>
      <c r="C1649" s="2">
        <v>1</v>
      </c>
      <c r="D1649" s="11" t="str">
        <f t="shared" si="35"/>
        <v>UN</v>
      </c>
      <c r="E1649" s="12">
        <v>0</v>
      </c>
      <c r="F1649" s="13">
        <v>0</v>
      </c>
      <c r="G1649" s="14" t="s">
        <v>198</v>
      </c>
    </row>
    <row r="1650" spans="1:7" x14ac:dyDescent="0.25">
      <c r="A1650" s="34" t="str">
        <f>"PIEZA 6710 SERIE A Nº 09"</f>
        <v>PIEZA 6710 SERIE A Nº 09</v>
      </c>
      <c r="B1650" s="2">
        <v>21</v>
      </c>
      <c r="C1650" s="2">
        <v>1</v>
      </c>
      <c r="D1650" s="11" t="str">
        <f t="shared" si="35"/>
        <v>UN</v>
      </c>
      <c r="E1650" s="12">
        <v>1.6500000000000001</v>
      </c>
      <c r="F1650" s="13">
        <v>0</v>
      </c>
      <c r="G1650" s="14" t="s">
        <v>198</v>
      </c>
    </row>
    <row r="1651" spans="1:7" x14ac:dyDescent="0.25">
      <c r="A1651" s="34" t="str">
        <f>"PIEZA 6710 SERIE A Nº 11"</f>
        <v>PIEZA 6710 SERIE A Nº 11</v>
      </c>
      <c r="B1651" s="2">
        <v>21</v>
      </c>
      <c r="C1651" s="2">
        <v>1</v>
      </c>
      <c r="D1651" s="11" t="str">
        <f t="shared" si="35"/>
        <v>UN</v>
      </c>
      <c r="E1651" s="12">
        <v>137.5</v>
      </c>
      <c r="F1651" s="13">
        <v>0</v>
      </c>
      <c r="G1651" s="14" t="s">
        <v>198</v>
      </c>
    </row>
    <row r="1652" spans="1:7" x14ac:dyDescent="0.25">
      <c r="A1652" s="34" t="str">
        <f>"PIEZA 6710 SERIE A Nº 14"</f>
        <v>PIEZA 6710 SERIE A Nº 14</v>
      </c>
      <c r="B1652" s="2">
        <v>21</v>
      </c>
      <c r="C1652" s="2">
        <v>1</v>
      </c>
      <c r="D1652" s="11" t="str">
        <f t="shared" si="35"/>
        <v>UN</v>
      </c>
      <c r="E1652" s="12">
        <v>3.3000000000000003</v>
      </c>
      <c r="F1652" s="13">
        <v>0</v>
      </c>
      <c r="G1652" s="14" t="s">
        <v>198</v>
      </c>
    </row>
    <row r="1653" spans="1:7" x14ac:dyDescent="0.25">
      <c r="A1653" s="34" t="str">
        <f>"PIEZA 6710 SERIE A Nº 14"</f>
        <v>PIEZA 6710 SERIE A Nº 14</v>
      </c>
      <c r="B1653" s="2">
        <v>21</v>
      </c>
      <c r="C1653" s="2">
        <v>2</v>
      </c>
      <c r="D1653" s="11" t="str">
        <f t="shared" si="35"/>
        <v>UN</v>
      </c>
      <c r="E1653" s="12">
        <v>12.925000000000002</v>
      </c>
      <c r="F1653" s="13">
        <v>0</v>
      </c>
      <c r="G1653" s="14" t="s">
        <v>198</v>
      </c>
    </row>
    <row r="1654" spans="1:7" x14ac:dyDescent="0.25">
      <c r="A1654" s="34" t="str">
        <f>"PIEZA 6715 SERIE A Nº 01-01"</f>
        <v>PIEZA 6715 SERIE A Nº 01-01</v>
      </c>
      <c r="B1654" s="2">
        <v>21</v>
      </c>
      <c r="C1654" s="2">
        <v>7</v>
      </c>
      <c r="D1654" s="11" t="str">
        <f t="shared" si="35"/>
        <v>UN</v>
      </c>
      <c r="E1654" s="12">
        <v>0</v>
      </c>
      <c r="F1654" s="13">
        <v>0</v>
      </c>
      <c r="G1654" s="14" t="s">
        <v>198</v>
      </c>
    </row>
    <row r="1655" spans="1:7" x14ac:dyDescent="0.25">
      <c r="A1655" s="34" t="str">
        <f>"PIEZA 6715 SERIE A Nº 01-02"</f>
        <v>PIEZA 6715 SERIE A Nº 01-02</v>
      </c>
      <c r="B1655" s="2">
        <v>21</v>
      </c>
      <c r="C1655" s="2">
        <v>3</v>
      </c>
      <c r="D1655" s="11" t="str">
        <f t="shared" si="35"/>
        <v>UN</v>
      </c>
      <c r="E1655" s="12">
        <v>0</v>
      </c>
      <c r="F1655" s="13">
        <v>0</v>
      </c>
      <c r="G1655" s="14" t="s">
        <v>198</v>
      </c>
    </row>
    <row r="1656" spans="1:7" x14ac:dyDescent="0.25">
      <c r="A1656" s="34" t="str">
        <f>"PIEZA 6715 SERIE A Nº 01-03"</f>
        <v>PIEZA 6715 SERIE A Nº 01-03</v>
      </c>
      <c r="B1656" s="2">
        <v>21</v>
      </c>
      <c r="C1656" s="2">
        <v>6</v>
      </c>
      <c r="D1656" s="11" t="str">
        <f t="shared" si="35"/>
        <v>UN</v>
      </c>
      <c r="E1656" s="12">
        <v>0</v>
      </c>
      <c r="F1656" s="13">
        <v>0</v>
      </c>
      <c r="G1656" s="14" t="s">
        <v>198</v>
      </c>
    </row>
    <row r="1657" spans="1:7" x14ac:dyDescent="0.25">
      <c r="A1657" s="34" t="str">
        <f>"PIEZA 6715 SERIE A Nº 02"</f>
        <v>PIEZA 6715 SERIE A Nº 02</v>
      </c>
      <c r="B1657" s="2">
        <v>21</v>
      </c>
      <c r="C1657" s="2">
        <v>1</v>
      </c>
      <c r="D1657" s="11" t="str">
        <f t="shared" si="35"/>
        <v>UN</v>
      </c>
      <c r="E1657" s="12">
        <v>68.956249999999997</v>
      </c>
      <c r="F1657" s="13">
        <v>0</v>
      </c>
      <c r="G1657" s="14" t="s">
        <v>198</v>
      </c>
    </row>
    <row r="1658" spans="1:7" x14ac:dyDescent="0.25">
      <c r="A1658" s="34" t="str">
        <f>"PIEZA 6715 SERIE A Nº 03"</f>
        <v>PIEZA 6715 SERIE A Nº 03</v>
      </c>
      <c r="B1658" s="2">
        <v>21</v>
      </c>
      <c r="C1658" s="2">
        <v>3</v>
      </c>
      <c r="D1658" s="11" t="str">
        <f t="shared" si="35"/>
        <v>UN</v>
      </c>
      <c r="E1658" s="12">
        <v>106.425</v>
      </c>
      <c r="F1658" s="13">
        <v>0</v>
      </c>
      <c r="G1658" s="14" t="s">
        <v>198</v>
      </c>
    </row>
    <row r="1659" spans="1:7" x14ac:dyDescent="0.25">
      <c r="A1659" s="34" t="str">
        <f>"PIEZA 6715 SERIE A Nº 04"</f>
        <v>PIEZA 6715 SERIE A Nº 04</v>
      </c>
      <c r="B1659" s="2">
        <v>21</v>
      </c>
      <c r="C1659" s="2">
        <v>1</v>
      </c>
      <c r="D1659" s="11" t="str">
        <f t="shared" si="35"/>
        <v>UN</v>
      </c>
      <c r="E1659" s="12">
        <v>11.6875</v>
      </c>
      <c r="F1659" s="13">
        <v>0</v>
      </c>
      <c r="G1659" s="14" t="s">
        <v>198</v>
      </c>
    </row>
    <row r="1660" spans="1:7" x14ac:dyDescent="0.25">
      <c r="A1660" s="34" t="str">
        <f>"PIEZA 6715 SERIE A Nº 05"</f>
        <v>PIEZA 6715 SERIE A Nº 05</v>
      </c>
      <c r="B1660" s="2">
        <v>21</v>
      </c>
      <c r="C1660" s="2">
        <v>2</v>
      </c>
      <c r="D1660" s="11" t="str">
        <f t="shared" si="35"/>
        <v>UN</v>
      </c>
      <c r="E1660" s="12">
        <v>18.425000000000001</v>
      </c>
      <c r="F1660" s="13">
        <v>0</v>
      </c>
      <c r="G1660" s="14" t="s">
        <v>198</v>
      </c>
    </row>
    <row r="1661" spans="1:7" x14ac:dyDescent="0.25">
      <c r="A1661" s="34" t="str">
        <f>"PIEZA 6715 SERIE A Nº 06"</f>
        <v>PIEZA 6715 SERIE A Nº 06</v>
      </c>
      <c r="B1661" s="2">
        <v>21</v>
      </c>
      <c r="C1661" s="2">
        <v>6</v>
      </c>
      <c r="D1661" s="11" t="str">
        <f t="shared" si="35"/>
        <v>UN</v>
      </c>
      <c r="E1661" s="12">
        <v>85.387499999999989</v>
      </c>
      <c r="F1661" s="13">
        <v>0</v>
      </c>
      <c r="G1661" s="14" t="s">
        <v>198</v>
      </c>
    </row>
    <row r="1662" spans="1:7" x14ac:dyDescent="0.25">
      <c r="A1662" s="34" t="str">
        <f>"PIEZA 6715 SERIE A Nº 07"</f>
        <v>PIEZA 6715 SERIE A Nº 07</v>
      </c>
      <c r="B1662" s="2">
        <v>21</v>
      </c>
      <c r="C1662" s="2">
        <v>5</v>
      </c>
      <c r="D1662" s="11" t="str">
        <f t="shared" si="35"/>
        <v>UN</v>
      </c>
      <c r="E1662" s="12">
        <v>7.21875</v>
      </c>
      <c r="F1662" s="13">
        <v>0</v>
      </c>
      <c r="G1662" s="14" t="s">
        <v>198</v>
      </c>
    </row>
    <row r="1663" spans="1:7" x14ac:dyDescent="0.25">
      <c r="A1663" s="34" t="str">
        <f>"PIEZA 6715 SERIE A Nº 08"</f>
        <v>PIEZA 6715 SERIE A Nº 08</v>
      </c>
      <c r="B1663" s="2">
        <v>21</v>
      </c>
      <c r="C1663" s="2">
        <v>4</v>
      </c>
      <c r="D1663" s="11" t="str">
        <f t="shared" si="35"/>
        <v>UN</v>
      </c>
      <c r="E1663" s="12">
        <v>103.95</v>
      </c>
      <c r="F1663" s="13">
        <v>0</v>
      </c>
      <c r="G1663" s="14" t="s">
        <v>198</v>
      </c>
    </row>
    <row r="1664" spans="1:7" x14ac:dyDescent="0.25">
      <c r="A1664" s="34" t="str">
        <f>"PIEZA 6715 SERIE A Nº 09"</f>
        <v>PIEZA 6715 SERIE A Nº 09</v>
      </c>
      <c r="B1664" s="2">
        <v>21</v>
      </c>
      <c r="C1664" s="2">
        <v>5</v>
      </c>
      <c r="D1664" s="11" t="str">
        <f t="shared" si="35"/>
        <v>UN</v>
      </c>
      <c r="E1664" s="12">
        <v>29.218749999999996</v>
      </c>
      <c r="F1664" s="13">
        <v>0</v>
      </c>
      <c r="G1664" s="14" t="s">
        <v>198</v>
      </c>
    </row>
    <row r="1665" spans="1:7" x14ac:dyDescent="0.25">
      <c r="A1665" s="34" t="str">
        <f>"PIEZA 6715 SERIE A Nº 13"</f>
        <v>PIEZA 6715 SERIE A Nº 13</v>
      </c>
      <c r="B1665" s="2">
        <v>21</v>
      </c>
      <c r="C1665" s="2">
        <v>3</v>
      </c>
      <c r="D1665" s="11" t="str">
        <f t="shared" si="35"/>
        <v>UN</v>
      </c>
      <c r="E1665" s="12">
        <v>6.1875</v>
      </c>
      <c r="F1665" s="13">
        <v>0</v>
      </c>
      <c r="G1665" s="14" t="s">
        <v>198</v>
      </c>
    </row>
    <row r="1666" spans="1:7" x14ac:dyDescent="0.25">
      <c r="A1666" s="34" t="str">
        <f>"PIEZA 6715 SERIE A Nº 14"</f>
        <v>PIEZA 6715 SERIE A Nº 14</v>
      </c>
      <c r="B1666" s="2">
        <v>21</v>
      </c>
      <c r="C1666" s="2">
        <v>4</v>
      </c>
      <c r="D1666" s="11" t="str">
        <f t="shared" si="35"/>
        <v>UN</v>
      </c>
      <c r="E1666" s="12">
        <v>212.30000000000007</v>
      </c>
      <c r="F1666" s="13">
        <v>0</v>
      </c>
      <c r="G1666" s="14" t="s">
        <v>198</v>
      </c>
    </row>
    <row r="1667" spans="1:7" x14ac:dyDescent="0.25">
      <c r="A1667" s="34" t="str">
        <f>"PIEZA 6715 SERIE A Nº 15"</f>
        <v>PIEZA 6715 SERIE A Nº 15</v>
      </c>
      <c r="B1667" s="2">
        <v>21</v>
      </c>
      <c r="C1667" s="2">
        <v>6</v>
      </c>
      <c r="D1667" s="11" t="str">
        <f t="shared" si="35"/>
        <v>UN</v>
      </c>
      <c r="E1667" s="12">
        <v>57.750000000000007</v>
      </c>
      <c r="F1667" s="13">
        <v>0</v>
      </c>
      <c r="G1667" s="14" t="s">
        <v>198</v>
      </c>
    </row>
    <row r="1668" spans="1:7" x14ac:dyDescent="0.25">
      <c r="A1668" s="34" t="str">
        <f>"PIEZA 6715 SERIE A Nº 16"</f>
        <v>PIEZA 6715 SERIE A Nº 16</v>
      </c>
      <c r="B1668" s="2">
        <v>21</v>
      </c>
      <c r="C1668" s="2">
        <v>3</v>
      </c>
      <c r="D1668" s="11" t="str">
        <f t="shared" si="35"/>
        <v>UN</v>
      </c>
      <c r="E1668" s="12">
        <v>20.212500000000006</v>
      </c>
      <c r="F1668" s="13">
        <v>0</v>
      </c>
      <c r="G1668" s="14" t="s">
        <v>198</v>
      </c>
    </row>
    <row r="1669" spans="1:7" x14ac:dyDescent="0.25">
      <c r="A1669" s="34" t="str">
        <f>"PIEZA 6715 SERIE A Nº 38"</f>
        <v>PIEZA 6715 SERIE A Nº 38</v>
      </c>
      <c r="B1669" s="2">
        <v>21</v>
      </c>
      <c r="C1669" s="2">
        <v>5</v>
      </c>
      <c r="D1669" s="11" t="str">
        <f t="shared" si="35"/>
        <v>UN</v>
      </c>
      <c r="E1669" s="12">
        <v>7.5625000000000009</v>
      </c>
      <c r="F1669" s="13">
        <v>0</v>
      </c>
      <c r="G1669" s="14" t="s">
        <v>198</v>
      </c>
    </row>
    <row r="1670" spans="1:7" x14ac:dyDescent="0.25">
      <c r="A1670" s="34" t="str">
        <f>"PIEZA 6715 SERIE A Nº 43"</f>
        <v>PIEZA 6715 SERIE A Nº 43</v>
      </c>
      <c r="B1670" s="2">
        <v>21</v>
      </c>
      <c r="C1670" s="2">
        <v>2</v>
      </c>
      <c r="D1670" s="11" t="str">
        <f t="shared" si="35"/>
        <v>UN</v>
      </c>
      <c r="E1670" s="12">
        <v>0</v>
      </c>
      <c r="F1670" s="13">
        <v>0</v>
      </c>
      <c r="G1670" s="14" t="s">
        <v>198</v>
      </c>
    </row>
    <row r="1671" spans="1:7" x14ac:dyDescent="0.25">
      <c r="A1671" s="34" t="str">
        <f>"PIEZA 6715 SERIE A Nº 52"</f>
        <v>PIEZA 6715 SERIE A Nº 52</v>
      </c>
      <c r="B1671" s="2">
        <v>21</v>
      </c>
      <c r="C1671" s="2">
        <v>2</v>
      </c>
      <c r="D1671" s="11" t="str">
        <f t="shared" si="35"/>
        <v>UN</v>
      </c>
      <c r="E1671" s="12">
        <v>21.065000000000005</v>
      </c>
      <c r="F1671" s="13">
        <v>0</v>
      </c>
      <c r="G1671" s="14" t="s">
        <v>198</v>
      </c>
    </row>
    <row r="1672" spans="1:7" x14ac:dyDescent="0.25">
      <c r="A1672" s="34" t="str">
        <f>"PIEZA 6715 SERIE A Nº 56"</f>
        <v>PIEZA 6715 SERIE A Nº 56</v>
      </c>
      <c r="B1672" s="2">
        <v>21</v>
      </c>
      <c r="C1672" s="2">
        <v>2</v>
      </c>
      <c r="D1672" s="11" t="str">
        <f t="shared" si="35"/>
        <v>UN</v>
      </c>
      <c r="E1672" s="12">
        <v>3.2449999999999997</v>
      </c>
      <c r="F1672" s="13">
        <v>0</v>
      </c>
      <c r="G1672" s="14" t="s">
        <v>198</v>
      </c>
    </row>
    <row r="1673" spans="1:7" x14ac:dyDescent="0.25">
      <c r="A1673" s="34" t="str">
        <f>"PIEZA 7011 SERIE A Nº 02"</f>
        <v>PIEZA 7011 SERIE A Nº 02</v>
      </c>
      <c r="B1673" s="2">
        <v>21</v>
      </c>
      <c r="C1673" s="2">
        <v>4</v>
      </c>
      <c r="D1673" s="11" t="str">
        <f t="shared" si="35"/>
        <v>UN</v>
      </c>
      <c r="E1673" s="12">
        <v>29.15</v>
      </c>
      <c r="F1673" s="13">
        <v>0</v>
      </c>
      <c r="G1673" s="14" t="s">
        <v>198</v>
      </c>
    </row>
    <row r="1674" spans="1:7" x14ac:dyDescent="0.25">
      <c r="A1674" s="34" t="str">
        <f>"PIEZA 7011 SERIE A Nº 04"</f>
        <v>PIEZA 7011 SERIE A Nº 04</v>
      </c>
      <c r="B1674" s="2">
        <v>21</v>
      </c>
      <c r="C1674" s="2">
        <v>4</v>
      </c>
      <c r="D1674" s="11" t="str">
        <f t="shared" ref="D1674:D1737" si="36">"UN"</f>
        <v>UN</v>
      </c>
      <c r="E1674" s="12">
        <v>38.774999999999999</v>
      </c>
      <c r="F1674" s="13">
        <v>0</v>
      </c>
      <c r="G1674" s="14" t="s">
        <v>198</v>
      </c>
    </row>
    <row r="1675" spans="1:7" x14ac:dyDescent="0.25">
      <c r="A1675" s="34" t="str">
        <f>"PIEZA 7011 SERIE A Nº 05"</f>
        <v>PIEZA 7011 SERIE A Nº 05</v>
      </c>
      <c r="B1675" s="2">
        <v>21</v>
      </c>
      <c r="C1675" s="2">
        <v>1</v>
      </c>
      <c r="D1675" s="11" t="str">
        <f t="shared" si="36"/>
        <v>UN</v>
      </c>
      <c r="E1675" s="12">
        <v>14.4375</v>
      </c>
      <c r="F1675" s="13">
        <v>0</v>
      </c>
      <c r="G1675" s="14" t="s">
        <v>198</v>
      </c>
    </row>
    <row r="1676" spans="1:7" x14ac:dyDescent="0.25">
      <c r="A1676" s="34" t="str">
        <f>"PIEZA 7011 SERIE A Nº 06"</f>
        <v>PIEZA 7011 SERIE A Nº 06</v>
      </c>
      <c r="B1676" s="2">
        <v>21</v>
      </c>
      <c r="C1676" s="2">
        <v>9</v>
      </c>
      <c r="D1676" s="11" t="str">
        <f t="shared" si="36"/>
        <v>UN</v>
      </c>
      <c r="E1676" s="12">
        <v>8.6624999999999996</v>
      </c>
      <c r="F1676" s="13">
        <v>0</v>
      </c>
      <c r="G1676" s="14" t="s">
        <v>198</v>
      </c>
    </row>
    <row r="1677" spans="1:7" x14ac:dyDescent="0.25">
      <c r="A1677" s="34" t="str">
        <f>"PIEZA 7011 SERIE A Nº 07"</f>
        <v>PIEZA 7011 SERIE A Nº 07</v>
      </c>
      <c r="B1677" s="2">
        <v>21</v>
      </c>
      <c r="C1677" s="2">
        <v>1</v>
      </c>
      <c r="D1677" s="11" t="str">
        <f t="shared" si="36"/>
        <v>UN</v>
      </c>
      <c r="E1677" s="12">
        <v>38.637500000000003</v>
      </c>
      <c r="F1677" s="13">
        <v>0</v>
      </c>
      <c r="G1677" s="14" t="s">
        <v>198</v>
      </c>
    </row>
    <row r="1678" spans="1:7" x14ac:dyDescent="0.25">
      <c r="A1678" s="34" t="str">
        <f>"PIEZA 7011 SERIE A Nº 08"</f>
        <v>PIEZA 7011 SERIE A Nº 08</v>
      </c>
      <c r="B1678" s="2">
        <v>21</v>
      </c>
      <c r="C1678" s="2">
        <v>3</v>
      </c>
      <c r="D1678" s="11" t="str">
        <f t="shared" si="36"/>
        <v>UN</v>
      </c>
      <c r="E1678" s="12">
        <v>21.862500000000004</v>
      </c>
      <c r="F1678" s="13">
        <v>0</v>
      </c>
      <c r="G1678" s="14" t="s">
        <v>198</v>
      </c>
    </row>
    <row r="1679" spans="1:7" x14ac:dyDescent="0.25">
      <c r="A1679" s="34" t="str">
        <f>"PIEZA 7011 SERIE A Nº 09"</f>
        <v>PIEZA 7011 SERIE A Nº 09</v>
      </c>
      <c r="B1679" s="2">
        <v>21</v>
      </c>
      <c r="C1679" s="2">
        <v>4</v>
      </c>
      <c r="D1679" s="11" t="str">
        <f t="shared" si="36"/>
        <v>UN</v>
      </c>
      <c r="E1679" s="12">
        <v>15.400000000000004</v>
      </c>
      <c r="F1679" s="13">
        <v>0</v>
      </c>
      <c r="G1679" s="14" t="s">
        <v>198</v>
      </c>
    </row>
    <row r="1680" spans="1:7" x14ac:dyDescent="0.25">
      <c r="A1680" s="34" t="str">
        <f>"PIEZA 7011 SERIE A Nº 10"</f>
        <v>PIEZA 7011 SERIE A Nº 10</v>
      </c>
      <c r="B1680" s="2">
        <v>21</v>
      </c>
      <c r="C1680" s="2">
        <v>10</v>
      </c>
      <c r="D1680" s="11" t="str">
        <f t="shared" si="36"/>
        <v>UN</v>
      </c>
      <c r="E1680" s="12">
        <v>13.750000000000002</v>
      </c>
      <c r="F1680" s="13">
        <v>0</v>
      </c>
      <c r="G1680" s="14" t="s">
        <v>198</v>
      </c>
    </row>
    <row r="1681" spans="1:7" x14ac:dyDescent="0.25">
      <c r="A1681" s="34" t="str">
        <f>"PIEZA 7011 SERIE A Nº 11"</f>
        <v>PIEZA 7011 SERIE A Nº 11</v>
      </c>
      <c r="B1681" s="2">
        <v>21</v>
      </c>
      <c r="C1681" s="2">
        <v>4</v>
      </c>
      <c r="D1681" s="11" t="str">
        <f t="shared" si="36"/>
        <v>UN</v>
      </c>
      <c r="E1681" s="12">
        <v>15.400000000000004</v>
      </c>
      <c r="F1681" s="13">
        <v>0</v>
      </c>
      <c r="G1681" s="14" t="s">
        <v>198</v>
      </c>
    </row>
    <row r="1682" spans="1:7" x14ac:dyDescent="0.25">
      <c r="A1682" s="34" t="str">
        <f>"PIEZA 7011 SERIE A Nº 12"</f>
        <v>PIEZA 7011 SERIE A Nº 12</v>
      </c>
      <c r="B1682" s="2">
        <v>21</v>
      </c>
      <c r="C1682" s="2">
        <v>10</v>
      </c>
      <c r="D1682" s="11" t="str">
        <f t="shared" si="36"/>
        <v>UN</v>
      </c>
      <c r="E1682" s="12">
        <v>13.750000000000002</v>
      </c>
      <c r="F1682" s="13">
        <v>0</v>
      </c>
      <c r="G1682" s="14" t="s">
        <v>198</v>
      </c>
    </row>
    <row r="1683" spans="1:7" x14ac:dyDescent="0.25">
      <c r="A1683" s="34" t="str">
        <f>"PIEZA 7011 SERIE A Nº 14"</f>
        <v>PIEZA 7011 SERIE A Nº 14</v>
      </c>
      <c r="B1683" s="2">
        <v>21</v>
      </c>
      <c r="C1683" s="2">
        <v>4</v>
      </c>
      <c r="D1683" s="11" t="str">
        <f t="shared" si="36"/>
        <v>UN</v>
      </c>
      <c r="E1683" s="12">
        <v>5.7750000000000004</v>
      </c>
      <c r="F1683" s="13">
        <v>0</v>
      </c>
      <c r="G1683" s="14" t="s">
        <v>198</v>
      </c>
    </row>
    <row r="1684" spans="1:7" x14ac:dyDescent="0.25">
      <c r="A1684" s="34" t="str">
        <f>"PIEZA 7011 SERIE A Nº 15"</f>
        <v>PIEZA 7011 SERIE A Nº 15</v>
      </c>
      <c r="B1684" s="2">
        <v>21</v>
      </c>
      <c r="C1684" s="2">
        <v>2</v>
      </c>
      <c r="D1684" s="11" t="str">
        <f t="shared" si="36"/>
        <v>UN</v>
      </c>
      <c r="E1684" s="12">
        <v>7.7</v>
      </c>
      <c r="F1684" s="13">
        <v>0</v>
      </c>
      <c r="G1684" s="14" t="s">
        <v>198</v>
      </c>
    </row>
    <row r="1685" spans="1:7" x14ac:dyDescent="0.25">
      <c r="A1685" s="34" t="str">
        <f>"PIEZA 7011 SERIE A Nº 16"</f>
        <v>PIEZA 7011 SERIE A Nº 16</v>
      </c>
      <c r="B1685" s="2">
        <v>21</v>
      </c>
      <c r="C1685" s="2">
        <v>10</v>
      </c>
      <c r="D1685" s="11" t="str">
        <f t="shared" si="36"/>
        <v>UN</v>
      </c>
      <c r="E1685" s="12">
        <v>9.625</v>
      </c>
      <c r="F1685" s="13">
        <v>0</v>
      </c>
      <c r="G1685" s="14" t="s">
        <v>198</v>
      </c>
    </row>
    <row r="1686" spans="1:7" x14ac:dyDescent="0.25">
      <c r="A1686" s="34" t="str">
        <f>"PIEZA 7011 SERIE A Nº 18"</f>
        <v>PIEZA 7011 SERIE A Nº 18</v>
      </c>
      <c r="B1686" s="2">
        <v>21</v>
      </c>
      <c r="C1686" s="2">
        <v>2</v>
      </c>
      <c r="D1686" s="11" t="str">
        <f t="shared" si="36"/>
        <v>UN</v>
      </c>
      <c r="E1686" s="12">
        <v>7.7</v>
      </c>
      <c r="F1686" s="13">
        <v>0</v>
      </c>
      <c r="G1686" s="14" t="s">
        <v>198</v>
      </c>
    </row>
    <row r="1687" spans="1:7" x14ac:dyDescent="0.25">
      <c r="A1687" s="34" t="str">
        <f>"PIEZA 7011 SERIE A Nº 19"</f>
        <v>PIEZA 7011 SERIE A Nº 19</v>
      </c>
      <c r="B1687" s="2">
        <v>21</v>
      </c>
      <c r="C1687" s="2">
        <v>3</v>
      </c>
      <c r="D1687" s="11" t="str">
        <f t="shared" si="36"/>
        <v>UN</v>
      </c>
      <c r="E1687" s="12">
        <v>43.725000000000001</v>
      </c>
      <c r="F1687" s="13">
        <v>0</v>
      </c>
      <c r="G1687" s="14" t="s">
        <v>198</v>
      </c>
    </row>
    <row r="1688" spans="1:7" x14ac:dyDescent="0.25">
      <c r="A1688" s="34" t="str">
        <f>"PIEZA 7011 SERIE A Nº 20"</f>
        <v>PIEZA 7011 SERIE A Nº 20</v>
      </c>
      <c r="B1688" s="2">
        <v>21</v>
      </c>
      <c r="C1688" s="2">
        <v>2</v>
      </c>
      <c r="D1688" s="11" t="str">
        <f t="shared" si="36"/>
        <v>UN</v>
      </c>
      <c r="E1688" s="12">
        <v>19.332500000000003</v>
      </c>
      <c r="F1688" s="13">
        <v>0</v>
      </c>
      <c r="G1688" s="14" t="s">
        <v>198</v>
      </c>
    </row>
    <row r="1689" spans="1:7" x14ac:dyDescent="0.25">
      <c r="A1689" s="34" t="str">
        <f>"PIEZA 7011 SERIE A Nº 23"</f>
        <v>PIEZA 7011 SERIE A Nº 23</v>
      </c>
      <c r="B1689" s="2">
        <v>21</v>
      </c>
      <c r="C1689" s="2">
        <v>1</v>
      </c>
      <c r="D1689" s="11" t="str">
        <f t="shared" si="36"/>
        <v>UN</v>
      </c>
      <c r="E1689" s="12">
        <v>9.6937500000000014</v>
      </c>
      <c r="F1689" s="13">
        <v>0</v>
      </c>
      <c r="G1689" s="14" t="s">
        <v>198</v>
      </c>
    </row>
    <row r="1690" spans="1:7" x14ac:dyDescent="0.25">
      <c r="A1690" s="34" t="str">
        <f>"PIEZA 7011 SERIE A Nº 24"</f>
        <v>PIEZA 7011 SERIE A Nº 24</v>
      </c>
      <c r="B1690" s="2">
        <v>21</v>
      </c>
      <c r="C1690" s="2">
        <v>4</v>
      </c>
      <c r="D1690" s="11" t="str">
        <f t="shared" si="36"/>
        <v>UN</v>
      </c>
      <c r="E1690" s="12">
        <v>9.9</v>
      </c>
      <c r="F1690" s="13">
        <v>0</v>
      </c>
      <c r="G1690" s="14" t="s">
        <v>198</v>
      </c>
    </row>
    <row r="1691" spans="1:7" x14ac:dyDescent="0.25">
      <c r="A1691" s="34" t="str">
        <f>"PIEZA 7011 SERIE A Nº 25"</f>
        <v>PIEZA 7011 SERIE A Nº 25</v>
      </c>
      <c r="B1691" s="2">
        <v>21</v>
      </c>
      <c r="C1691" s="2">
        <v>2</v>
      </c>
      <c r="D1691" s="11" t="str">
        <f t="shared" si="36"/>
        <v>UN</v>
      </c>
      <c r="E1691" s="12">
        <v>19.387500000000003</v>
      </c>
      <c r="F1691" s="13">
        <v>0</v>
      </c>
      <c r="G1691" s="14" t="s">
        <v>198</v>
      </c>
    </row>
    <row r="1692" spans="1:7" x14ac:dyDescent="0.25">
      <c r="A1692" s="34" t="str">
        <f>"PIEZA 7011 SERIE A Nº 26"</f>
        <v>PIEZA 7011 SERIE A Nº 26</v>
      </c>
      <c r="B1692" s="2">
        <v>21</v>
      </c>
      <c r="C1692" s="2">
        <v>3</v>
      </c>
      <c r="D1692" s="11" t="str">
        <f t="shared" si="36"/>
        <v>UN</v>
      </c>
      <c r="E1692" s="12">
        <v>50.737500000000011</v>
      </c>
      <c r="F1692" s="13">
        <v>0</v>
      </c>
      <c r="G1692" s="14" t="s">
        <v>198</v>
      </c>
    </row>
    <row r="1693" spans="1:7" x14ac:dyDescent="0.25">
      <c r="A1693" s="34" t="str">
        <f>"PIEZA 7011 SERIE A Nº 27"</f>
        <v>PIEZA 7011 SERIE A Nº 27</v>
      </c>
      <c r="B1693" s="2">
        <v>21</v>
      </c>
      <c r="C1693" s="2">
        <v>4</v>
      </c>
      <c r="D1693" s="11" t="str">
        <f t="shared" si="36"/>
        <v>UN</v>
      </c>
      <c r="E1693" s="12">
        <v>38.774999999999999</v>
      </c>
      <c r="F1693" s="13">
        <v>0</v>
      </c>
      <c r="G1693" s="14" t="s">
        <v>198</v>
      </c>
    </row>
    <row r="1694" spans="1:7" x14ac:dyDescent="0.25">
      <c r="A1694" s="34" t="str">
        <f>"PIEZA 7011 SERIE A Nº 28"</f>
        <v>PIEZA 7011 SERIE A Nº 28</v>
      </c>
      <c r="B1694" s="2">
        <v>21</v>
      </c>
      <c r="C1694" s="2">
        <v>5</v>
      </c>
      <c r="D1694" s="11" t="str">
        <f t="shared" si="36"/>
        <v>UN</v>
      </c>
      <c r="E1694" s="12">
        <v>7.2187500000000009</v>
      </c>
      <c r="F1694" s="13">
        <v>0</v>
      </c>
      <c r="G1694" s="14" t="s">
        <v>198</v>
      </c>
    </row>
    <row r="1695" spans="1:7" x14ac:dyDescent="0.25">
      <c r="A1695" s="34" t="str">
        <f>"PIEZA 7011 SERIE A Nº 30"</f>
        <v>PIEZA 7011 SERIE A Nº 30</v>
      </c>
      <c r="B1695" s="2">
        <v>21</v>
      </c>
      <c r="C1695" s="2">
        <v>4</v>
      </c>
      <c r="D1695" s="11" t="str">
        <f t="shared" si="36"/>
        <v>UN</v>
      </c>
      <c r="E1695" s="12">
        <v>38.774999999999999</v>
      </c>
      <c r="F1695" s="13">
        <v>0</v>
      </c>
      <c r="G1695" s="14" t="s">
        <v>198</v>
      </c>
    </row>
    <row r="1696" spans="1:7" x14ac:dyDescent="0.25">
      <c r="A1696" s="34" t="str">
        <f>"PIEZA 7020 SERIE B Nº 05"</f>
        <v>PIEZA 7020 SERIE B Nº 05</v>
      </c>
      <c r="B1696" s="2">
        <v>21</v>
      </c>
      <c r="C1696" s="2">
        <v>4</v>
      </c>
      <c r="D1696" s="11" t="str">
        <f t="shared" si="36"/>
        <v>UN</v>
      </c>
      <c r="E1696" s="12">
        <v>29.094999999999995</v>
      </c>
      <c r="F1696" s="13">
        <v>0</v>
      </c>
      <c r="G1696" s="14" t="s">
        <v>198</v>
      </c>
    </row>
    <row r="1697" spans="1:7" x14ac:dyDescent="0.25">
      <c r="A1697" s="34" t="str">
        <f>"PIEZA 7020 SERIE B Nº 11"</f>
        <v>PIEZA 7020 SERIE B Nº 11</v>
      </c>
      <c r="B1697" s="2">
        <v>21</v>
      </c>
      <c r="C1697" s="2">
        <v>11</v>
      </c>
      <c r="D1697" s="11" t="str">
        <f t="shared" si="36"/>
        <v>UN</v>
      </c>
      <c r="E1697" s="12">
        <v>149.13250000000002</v>
      </c>
      <c r="F1697" s="13">
        <v>0</v>
      </c>
      <c r="G1697" s="14" t="s">
        <v>198</v>
      </c>
    </row>
    <row r="1698" spans="1:7" x14ac:dyDescent="0.25">
      <c r="A1698" s="34" t="str">
        <f>"PIEZA 7020 SERIE C Nº 01"</f>
        <v>PIEZA 7020 SERIE C Nº 01</v>
      </c>
      <c r="B1698" s="2">
        <v>21</v>
      </c>
      <c r="C1698" s="2">
        <v>2</v>
      </c>
      <c r="D1698" s="11" t="str">
        <f t="shared" si="36"/>
        <v>UN</v>
      </c>
      <c r="E1698" s="12">
        <v>9.0474999999999994</v>
      </c>
      <c r="F1698" s="13">
        <v>0</v>
      </c>
      <c r="G1698" s="14" t="s">
        <v>198</v>
      </c>
    </row>
    <row r="1699" spans="1:7" x14ac:dyDescent="0.25">
      <c r="A1699" s="34" t="str">
        <f>"PIEZA 7020 SERIE C Nº 31"</f>
        <v>PIEZA 7020 SERIE C Nº 31</v>
      </c>
      <c r="B1699" s="2">
        <v>21</v>
      </c>
      <c r="C1699" s="2">
        <v>1</v>
      </c>
      <c r="D1699" s="11" t="str">
        <f t="shared" si="36"/>
        <v>UN</v>
      </c>
      <c r="E1699" s="12">
        <v>13.186250000000001</v>
      </c>
      <c r="F1699" s="13">
        <v>0</v>
      </c>
      <c r="G1699" s="14" t="s">
        <v>198</v>
      </c>
    </row>
    <row r="1700" spans="1:7" x14ac:dyDescent="0.25">
      <c r="A1700" s="34" t="str">
        <f>"PIEZA 7020 SERIE D Nº 02 (844715)"</f>
        <v>PIEZA 7020 SERIE D Nº 02 (844715)</v>
      </c>
      <c r="B1700" s="2">
        <v>21</v>
      </c>
      <c r="C1700" s="2">
        <v>1</v>
      </c>
      <c r="D1700" s="11" t="str">
        <f t="shared" si="36"/>
        <v>UN</v>
      </c>
      <c r="E1700" s="12">
        <v>9.9000000000000021</v>
      </c>
      <c r="F1700" s="13">
        <v>0</v>
      </c>
      <c r="G1700" s="14" t="s">
        <v>198</v>
      </c>
    </row>
    <row r="1701" spans="1:7" x14ac:dyDescent="0.25">
      <c r="A1701" s="34" t="str">
        <f>"PIEZA 7020 SERIE D Nº 04"</f>
        <v>PIEZA 7020 SERIE D Nº 04</v>
      </c>
      <c r="B1701" s="2">
        <v>21</v>
      </c>
      <c r="C1701" s="2">
        <v>3</v>
      </c>
      <c r="D1701" s="11" t="str">
        <f t="shared" si="36"/>
        <v>UN</v>
      </c>
      <c r="E1701" s="12">
        <v>18.768749999999997</v>
      </c>
      <c r="F1701" s="13">
        <v>0</v>
      </c>
      <c r="G1701" s="14" t="s">
        <v>198</v>
      </c>
    </row>
    <row r="1702" spans="1:7" x14ac:dyDescent="0.25">
      <c r="A1702" s="34" t="str">
        <f>"PIEZA 7020 SERIE D Nº 12"</f>
        <v>PIEZA 7020 SERIE D Nº 12</v>
      </c>
      <c r="B1702" s="2">
        <v>21</v>
      </c>
      <c r="C1702" s="2">
        <v>12</v>
      </c>
      <c r="D1702" s="11" t="str">
        <f t="shared" si="36"/>
        <v>UN</v>
      </c>
      <c r="E1702" s="12">
        <v>268.78500000000008</v>
      </c>
      <c r="F1702" s="13">
        <v>0</v>
      </c>
      <c r="G1702" s="14" t="s">
        <v>198</v>
      </c>
    </row>
    <row r="1703" spans="1:7" x14ac:dyDescent="0.25">
      <c r="A1703" s="34" t="str">
        <f>"PIEZA 7025 SERIE B Nº 16"</f>
        <v>PIEZA 7025 SERIE B Nº 16</v>
      </c>
      <c r="B1703" s="2">
        <v>21</v>
      </c>
      <c r="C1703" s="2">
        <v>1</v>
      </c>
      <c r="D1703" s="11" t="str">
        <f t="shared" si="36"/>
        <v>UN</v>
      </c>
      <c r="E1703" s="12">
        <v>2.6124999999999998</v>
      </c>
      <c r="F1703" s="13">
        <v>0</v>
      </c>
      <c r="G1703" s="14" t="s">
        <v>198</v>
      </c>
    </row>
    <row r="1704" spans="1:7" x14ac:dyDescent="0.25">
      <c r="A1704" s="34" t="str">
        <f>"PIEZA 7035 SERIE A Nº 33"</f>
        <v>PIEZA 7035 SERIE A Nº 33</v>
      </c>
      <c r="B1704" s="2">
        <v>21</v>
      </c>
      <c r="C1704" s="2">
        <v>4</v>
      </c>
      <c r="D1704" s="11" t="str">
        <f t="shared" si="36"/>
        <v>UN</v>
      </c>
      <c r="E1704" s="12">
        <v>54.23</v>
      </c>
      <c r="F1704" s="13">
        <v>0</v>
      </c>
      <c r="G1704" s="14" t="s">
        <v>198</v>
      </c>
    </row>
    <row r="1705" spans="1:7" x14ac:dyDescent="0.25">
      <c r="A1705" s="34" t="str">
        <f>"PIEZA 7040 SERIE C Nº 08"</f>
        <v>PIEZA 7040 SERIE C Nº 08</v>
      </c>
      <c r="B1705" s="2">
        <v>21</v>
      </c>
      <c r="C1705" s="2">
        <v>10</v>
      </c>
      <c r="D1705" s="11" t="str">
        <f t="shared" si="36"/>
        <v>UN</v>
      </c>
      <c r="E1705" s="12">
        <v>108.07500000000003</v>
      </c>
      <c r="F1705" s="13">
        <v>0</v>
      </c>
      <c r="G1705" s="14" t="s">
        <v>198</v>
      </c>
    </row>
    <row r="1706" spans="1:7" x14ac:dyDescent="0.25">
      <c r="A1706" s="34" t="str">
        <f>"PIEZA 7040 SERIE C Nº 12"</f>
        <v>PIEZA 7040 SERIE C Nº 12</v>
      </c>
      <c r="B1706" s="2">
        <v>21</v>
      </c>
      <c r="C1706" s="2">
        <v>2</v>
      </c>
      <c r="D1706" s="11" t="str">
        <f t="shared" si="36"/>
        <v>UN</v>
      </c>
      <c r="E1706" s="12">
        <v>9.4324999999999992</v>
      </c>
      <c r="F1706" s="13">
        <v>0</v>
      </c>
      <c r="G1706" s="14" t="s">
        <v>198</v>
      </c>
    </row>
    <row r="1707" spans="1:7" x14ac:dyDescent="0.25">
      <c r="A1707" s="34" t="str">
        <f>"PIEZA 7040 SERIE C Nº 16"</f>
        <v>PIEZA 7040 SERIE C Nº 16</v>
      </c>
      <c r="B1707" s="2">
        <v>21</v>
      </c>
      <c r="C1707" s="2">
        <v>9</v>
      </c>
      <c r="D1707" s="11" t="str">
        <f t="shared" si="36"/>
        <v>UN</v>
      </c>
      <c r="E1707" s="12">
        <v>17.696249999999999</v>
      </c>
      <c r="F1707" s="13">
        <v>0</v>
      </c>
      <c r="G1707" s="14" t="s">
        <v>198</v>
      </c>
    </row>
    <row r="1708" spans="1:7" x14ac:dyDescent="0.25">
      <c r="A1708" s="34" t="str">
        <f>"PIEZA 7045 SERIE B Nº 29"</f>
        <v>PIEZA 7045 SERIE B Nº 29</v>
      </c>
      <c r="B1708" s="2">
        <v>21</v>
      </c>
      <c r="C1708" s="2">
        <v>1</v>
      </c>
      <c r="D1708" s="11" t="str">
        <f t="shared" si="36"/>
        <v>UN</v>
      </c>
      <c r="E1708" s="12">
        <v>9.0337500000000013</v>
      </c>
      <c r="F1708" s="13">
        <v>0</v>
      </c>
      <c r="G1708" s="14" t="s">
        <v>198</v>
      </c>
    </row>
    <row r="1709" spans="1:7" x14ac:dyDescent="0.25">
      <c r="A1709" s="34" t="str">
        <f>"PIEZA 7045 SERIE B/C Nº 21"</f>
        <v>PIEZA 7045 SERIE B/C Nº 21</v>
      </c>
      <c r="B1709" s="2">
        <v>21</v>
      </c>
      <c r="C1709" s="2">
        <v>28</v>
      </c>
      <c r="D1709" s="11" t="str">
        <f t="shared" si="36"/>
        <v>UN</v>
      </c>
      <c r="E1709" s="12">
        <v>33.11</v>
      </c>
      <c r="F1709" s="13">
        <v>0</v>
      </c>
      <c r="G1709" s="14" t="s">
        <v>198</v>
      </c>
    </row>
    <row r="1710" spans="1:7" x14ac:dyDescent="0.25">
      <c r="A1710" s="34" t="str">
        <f>"PIEZA 7045 SERIE C Nº 35"</f>
        <v>PIEZA 7045 SERIE C Nº 35</v>
      </c>
      <c r="B1710" s="2">
        <v>21</v>
      </c>
      <c r="C1710" s="2">
        <v>1</v>
      </c>
      <c r="D1710" s="11" t="str">
        <f t="shared" si="36"/>
        <v>UN</v>
      </c>
      <c r="E1710" s="12">
        <v>22.39875</v>
      </c>
      <c r="F1710" s="13">
        <v>0</v>
      </c>
      <c r="G1710" s="14" t="s">
        <v>198</v>
      </c>
    </row>
    <row r="1711" spans="1:7" x14ac:dyDescent="0.25">
      <c r="A1711" s="34" t="str">
        <f>"PIEZA 7060 SERIE B Nº 16"</f>
        <v>PIEZA 7060 SERIE B Nº 16</v>
      </c>
      <c r="B1711" s="2">
        <v>21</v>
      </c>
      <c r="C1711" s="2">
        <v>2</v>
      </c>
      <c r="D1711" s="11" t="str">
        <f t="shared" si="36"/>
        <v>UN</v>
      </c>
      <c r="E1711" s="12">
        <v>8.3875000000000011</v>
      </c>
      <c r="F1711" s="13">
        <v>0</v>
      </c>
      <c r="G1711" s="14" t="s">
        <v>198</v>
      </c>
    </row>
    <row r="1712" spans="1:7" x14ac:dyDescent="0.25">
      <c r="A1712" s="34" t="str">
        <f>"PIEZA 7060 SERIE B Nº 33"</f>
        <v>PIEZA 7060 SERIE B Nº 33</v>
      </c>
      <c r="B1712" s="2">
        <v>21</v>
      </c>
      <c r="C1712" s="2">
        <v>2</v>
      </c>
      <c r="D1712" s="11" t="str">
        <f t="shared" si="36"/>
        <v>UN</v>
      </c>
      <c r="E1712" s="12">
        <v>37.564999999999998</v>
      </c>
      <c r="F1712" s="13">
        <v>0</v>
      </c>
      <c r="G1712" s="14" t="s">
        <v>198</v>
      </c>
    </row>
    <row r="1713" spans="1:7" x14ac:dyDescent="0.25">
      <c r="A1713" s="34" t="str">
        <f>"PIEZA 7090 SERIE A Nº 24"</f>
        <v>PIEZA 7090 SERIE A Nº 24</v>
      </c>
      <c r="B1713" s="2">
        <v>21</v>
      </c>
      <c r="C1713" s="2">
        <v>5</v>
      </c>
      <c r="D1713" s="11" t="str">
        <f t="shared" si="36"/>
        <v>UN</v>
      </c>
      <c r="E1713" s="12">
        <v>106.56250000000001</v>
      </c>
      <c r="F1713" s="13">
        <v>0</v>
      </c>
      <c r="G1713" s="14" t="s">
        <v>198</v>
      </c>
    </row>
    <row r="1714" spans="1:7" x14ac:dyDescent="0.25">
      <c r="A1714" s="34" t="str">
        <f>"PIEZA 7090 SERIE A Nº 25"</f>
        <v>PIEZA 7090 SERIE A Nº 25</v>
      </c>
      <c r="B1714" s="2">
        <v>21</v>
      </c>
      <c r="C1714" s="2">
        <v>1</v>
      </c>
      <c r="D1714" s="11" t="str">
        <f t="shared" si="36"/>
        <v>UN</v>
      </c>
      <c r="E1714" s="12">
        <v>59.537500000000016</v>
      </c>
      <c r="F1714" s="13">
        <v>0</v>
      </c>
      <c r="G1714" s="14" t="s">
        <v>198</v>
      </c>
    </row>
    <row r="1715" spans="1:7" x14ac:dyDescent="0.25">
      <c r="A1715" s="34" t="str">
        <f>"PIEZA 7090 SERIE A Nº 29"</f>
        <v>PIEZA 7090 SERIE A Nº 29</v>
      </c>
      <c r="B1715" s="2">
        <v>21</v>
      </c>
      <c r="C1715" s="2">
        <v>12</v>
      </c>
      <c r="D1715" s="11" t="str">
        <f t="shared" si="36"/>
        <v>UN</v>
      </c>
      <c r="E1715" s="12">
        <v>23.1</v>
      </c>
      <c r="F1715" s="13">
        <v>0</v>
      </c>
      <c r="G1715" s="14" t="s">
        <v>198</v>
      </c>
    </row>
    <row r="1716" spans="1:7" x14ac:dyDescent="0.25">
      <c r="A1716" s="34" t="str">
        <f>"PIEZA 7100 SERIE B Nº 27"</f>
        <v>PIEZA 7100 SERIE B Nº 27</v>
      </c>
      <c r="B1716" s="2">
        <v>21</v>
      </c>
      <c r="C1716" s="2">
        <v>1</v>
      </c>
      <c r="D1716" s="11" t="str">
        <f t="shared" si="36"/>
        <v>UN</v>
      </c>
      <c r="E1716" s="12">
        <v>28.32500000000001</v>
      </c>
      <c r="F1716" s="13">
        <v>0</v>
      </c>
      <c r="G1716" s="14" t="s">
        <v>198</v>
      </c>
    </row>
    <row r="1717" spans="1:7" x14ac:dyDescent="0.25">
      <c r="A1717" s="34" t="str">
        <f>"PIEZA 7100 SERIE C Nº 21"</f>
        <v>PIEZA 7100 SERIE C Nº 21</v>
      </c>
      <c r="B1717" s="2">
        <v>21</v>
      </c>
      <c r="C1717" s="2">
        <v>8</v>
      </c>
      <c r="D1717" s="11" t="str">
        <f t="shared" si="36"/>
        <v>UN</v>
      </c>
      <c r="E1717" s="12">
        <v>9.3500000000000014</v>
      </c>
      <c r="F1717" s="13">
        <v>0</v>
      </c>
      <c r="G1717" s="14" t="s">
        <v>198</v>
      </c>
    </row>
    <row r="1718" spans="1:7" x14ac:dyDescent="0.25">
      <c r="A1718" s="34" t="str">
        <f>"PIEZA 7100 SERIE C Nº 28"</f>
        <v>PIEZA 7100 SERIE C Nº 28</v>
      </c>
      <c r="B1718" s="2">
        <v>21</v>
      </c>
      <c r="C1718" s="2">
        <v>3</v>
      </c>
      <c r="D1718" s="11" t="str">
        <f t="shared" si="36"/>
        <v>UN</v>
      </c>
      <c r="E1718" s="12">
        <v>85.59375</v>
      </c>
      <c r="F1718" s="13">
        <v>0</v>
      </c>
      <c r="G1718" s="14" t="s">
        <v>198</v>
      </c>
    </row>
    <row r="1719" spans="1:7" x14ac:dyDescent="0.25">
      <c r="A1719" s="34" t="str">
        <f>"PIEZA 7107 SERIE A Nº 14"</f>
        <v>PIEZA 7107 SERIE A Nº 14</v>
      </c>
      <c r="B1719" s="2">
        <v>21</v>
      </c>
      <c r="C1719" s="2">
        <v>4</v>
      </c>
      <c r="D1719" s="11" t="str">
        <f t="shared" si="36"/>
        <v>UN</v>
      </c>
      <c r="E1719" s="12">
        <v>6.6000000000000014</v>
      </c>
      <c r="F1719" s="13">
        <v>0</v>
      </c>
      <c r="G1719" s="14" t="s">
        <v>198</v>
      </c>
    </row>
    <row r="1720" spans="1:7" x14ac:dyDescent="0.25">
      <c r="A1720" s="34" t="str">
        <f>"PIEZA 7107 SERIE A Nº 19"</f>
        <v>PIEZA 7107 SERIE A Nº 19</v>
      </c>
      <c r="B1720" s="2">
        <v>21</v>
      </c>
      <c r="C1720" s="2">
        <v>3</v>
      </c>
      <c r="D1720" s="11" t="str">
        <f t="shared" si="36"/>
        <v>UN</v>
      </c>
      <c r="E1720" s="12">
        <v>47.437500000000014</v>
      </c>
      <c r="F1720" s="13">
        <v>0</v>
      </c>
      <c r="G1720" s="14" t="s">
        <v>198</v>
      </c>
    </row>
    <row r="1721" spans="1:7" x14ac:dyDescent="0.25">
      <c r="A1721" s="34" t="str">
        <f>"PIEZA 7107 SERIE A Nº 22"</f>
        <v>PIEZA 7107 SERIE A Nº 22</v>
      </c>
      <c r="B1721" s="2">
        <v>21</v>
      </c>
      <c r="C1721" s="2">
        <v>10</v>
      </c>
      <c r="D1721" s="11" t="str">
        <f t="shared" si="36"/>
        <v>UN</v>
      </c>
      <c r="E1721" s="12">
        <v>22.000000000000004</v>
      </c>
      <c r="F1721" s="13">
        <v>0</v>
      </c>
      <c r="G1721" s="14" t="s">
        <v>198</v>
      </c>
    </row>
    <row r="1722" spans="1:7" x14ac:dyDescent="0.25">
      <c r="A1722" s="34" t="str">
        <f>"PIEZA 7107 SERIE A Nº 27"</f>
        <v>PIEZA 7107 SERIE A Nº 27</v>
      </c>
      <c r="B1722" s="2">
        <v>21</v>
      </c>
      <c r="C1722" s="2">
        <v>2</v>
      </c>
      <c r="D1722" s="11" t="str">
        <f t="shared" si="36"/>
        <v>UN</v>
      </c>
      <c r="E1722" s="12">
        <v>78.100000000000009</v>
      </c>
      <c r="F1722" s="13">
        <v>0</v>
      </c>
      <c r="G1722" s="14" t="s">
        <v>198</v>
      </c>
    </row>
    <row r="1723" spans="1:7" x14ac:dyDescent="0.25">
      <c r="A1723" s="34" t="str">
        <f>"PIEZA 7107 SERIE A Nº 31"</f>
        <v>PIEZA 7107 SERIE A Nº 31</v>
      </c>
      <c r="B1723" s="2">
        <v>21</v>
      </c>
      <c r="C1723" s="2">
        <v>6</v>
      </c>
      <c r="D1723" s="11" t="str">
        <f t="shared" si="36"/>
        <v>UN</v>
      </c>
      <c r="E1723" s="12">
        <v>234.3</v>
      </c>
      <c r="F1723" s="13">
        <v>0</v>
      </c>
      <c r="G1723" s="14" t="s">
        <v>198</v>
      </c>
    </row>
    <row r="1724" spans="1:7" x14ac:dyDescent="0.25">
      <c r="A1724" s="34" t="str">
        <f>"PIEZA 7107 SERIE A Nº 37"</f>
        <v>PIEZA 7107 SERIE A Nº 37</v>
      </c>
      <c r="B1724" s="2">
        <v>21</v>
      </c>
      <c r="C1724" s="2">
        <v>2</v>
      </c>
      <c r="D1724" s="11" t="str">
        <f t="shared" si="36"/>
        <v>UN</v>
      </c>
      <c r="E1724" s="12">
        <v>15.950000000000001</v>
      </c>
      <c r="F1724" s="13">
        <v>0</v>
      </c>
      <c r="G1724" s="14" t="s">
        <v>198</v>
      </c>
    </row>
    <row r="1725" spans="1:7" x14ac:dyDescent="0.25">
      <c r="A1725" s="34" t="str">
        <f>"PIEZA 7120 SERIE A Nº 38"</f>
        <v>PIEZA 7120 SERIE A Nº 38</v>
      </c>
      <c r="B1725" s="2">
        <v>21</v>
      </c>
      <c r="C1725" s="2">
        <v>3</v>
      </c>
      <c r="D1725" s="11" t="str">
        <f t="shared" si="36"/>
        <v>UN</v>
      </c>
      <c r="E1725" s="12">
        <v>80.148750000000007</v>
      </c>
      <c r="F1725" s="13">
        <v>0</v>
      </c>
      <c r="G1725" s="14" t="s">
        <v>198</v>
      </c>
    </row>
    <row r="1726" spans="1:7" x14ac:dyDescent="0.25">
      <c r="A1726" s="34" t="str">
        <f>"PIEZA 7120 SERIE B Nº 03"</f>
        <v>PIEZA 7120 SERIE B Nº 03</v>
      </c>
      <c r="B1726" s="2">
        <v>21</v>
      </c>
      <c r="C1726" s="2">
        <v>2</v>
      </c>
      <c r="D1726" s="11" t="str">
        <f t="shared" si="36"/>
        <v>UN</v>
      </c>
      <c r="E1726" s="12">
        <v>4.4000000000000004</v>
      </c>
      <c r="F1726" s="13">
        <v>0</v>
      </c>
      <c r="G1726" s="14" t="s">
        <v>198</v>
      </c>
    </row>
    <row r="1727" spans="1:7" x14ac:dyDescent="0.25">
      <c r="A1727" s="34" t="str">
        <f>"PIEZA 7120 SERIE B Nº 15"</f>
        <v>PIEZA 7120 SERIE B Nº 15</v>
      </c>
      <c r="B1727" s="2">
        <v>21</v>
      </c>
      <c r="C1727" s="2">
        <v>2</v>
      </c>
      <c r="D1727" s="11" t="str">
        <f t="shared" si="36"/>
        <v>UN</v>
      </c>
      <c r="E1727" s="12">
        <v>110.00000000000001</v>
      </c>
      <c r="F1727" s="13">
        <v>0</v>
      </c>
      <c r="G1727" s="14" t="s">
        <v>198</v>
      </c>
    </row>
    <row r="1728" spans="1:7" x14ac:dyDescent="0.25">
      <c r="A1728" s="34" t="str">
        <f>"PIEZA 7120 SERIE B Nº 18"</f>
        <v>PIEZA 7120 SERIE B Nº 18</v>
      </c>
      <c r="B1728" s="2">
        <v>21</v>
      </c>
      <c r="C1728" s="2">
        <v>10</v>
      </c>
      <c r="D1728" s="11" t="str">
        <f t="shared" si="36"/>
        <v>UN</v>
      </c>
      <c r="E1728" s="12">
        <v>137.5</v>
      </c>
      <c r="F1728" s="13">
        <v>0</v>
      </c>
      <c r="G1728" s="14" t="s">
        <v>198</v>
      </c>
    </row>
    <row r="1729" spans="1:7" x14ac:dyDescent="0.25">
      <c r="A1729" s="34" t="str">
        <f>"PIEZA 7120 SERIE B Nº 36"</f>
        <v>PIEZA 7120 SERIE B Nº 36</v>
      </c>
      <c r="B1729" s="2">
        <v>21</v>
      </c>
      <c r="C1729" s="2">
        <v>2</v>
      </c>
      <c r="D1729" s="11" t="str">
        <f t="shared" si="36"/>
        <v>UN</v>
      </c>
      <c r="E1729" s="12">
        <v>5.2250000000000005</v>
      </c>
      <c r="F1729" s="13">
        <v>0</v>
      </c>
      <c r="G1729" s="14" t="s">
        <v>198</v>
      </c>
    </row>
    <row r="1730" spans="1:7" x14ac:dyDescent="0.25">
      <c r="A1730" s="34" t="str">
        <f>"PIEZA 7150 SERIE A Nº 06"</f>
        <v>PIEZA 7150 SERIE A Nº 06</v>
      </c>
      <c r="B1730" s="2">
        <v>21</v>
      </c>
      <c r="C1730" s="2">
        <v>5</v>
      </c>
      <c r="D1730" s="11" t="str">
        <f t="shared" si="36"/>
        <v>UN</v>
      </c>
      <c r="E1730" s="12">
        <v>45.168749999999996</v>
      </c>
      <c r="F1730" s="13">
        <v>0</v>
      </c>
      <c r="G1730" s="14" t="s">
        <v>198</v>
      </c>
    </row>
    <row r="1731" spans="1:7" x14ac:dyDescent="0.25">
      <c r="A1731" s="34" t="str">
        <f>"PIEZA 7150 SERIE A Nº 08"</f>
        <v>PIEZA 7150 SERIE A Nº 08</v>
      </c>
      <c r="B1731" s="2">
        <v>21</v>
      </c>
      <c r="C1731" s="2">
        <v>5</v>
      </c>
      <c r="D1731" s="11" t="str">
        <f t="shared" si="36"/>
        <v>UN</v>
      </c>
      <c r="E1731" s="12">
        <v>4.8812500000000005</v>
      </c>
      <c r="F1731" s="13">
        <v>0</v>
      </c>
      <c r="G1731" s="14" t="s">
        <v>198</v>
      </c>
    </row>
    <row r="1732" spans="1:7" x14ac:dyDescent="0.25">
      <c r="A1732" s="34" t="str">
        <f>"PIEZA 7150 SERIE A Nº 36"</f>
        <v>PIEZA 7150 SERIE A Nº 36</v>
      </c>
      <c r="B1732" s="2">
        <v>21</v>
      </c>
      <c r="C1732" s="2">
        <v>1</v>
      </c>
      <c r="D1732" s="11" t="str">
        <f t="shared" si="36"/>
        <v>UN</v>
      </c>
      <c r="E1732" s="12">
        <v>12.30625</v>
      </c>
      <c r="F1732" s="13">
        <v>0</v>
      </c>
      <c r="G1732" s="14" t="s">
        <v>198</v>
      </c>
    </row>
    <row r="1733" spans="1:7" x14ac:dyDescent="0.25">
      <c r="A1733" s="34" t="str">
        <f>"PIEZA 7150 SERIE A Nº 37"</f>
        <v>PIEZA 7150 SERIE A Nº 37</v>
      </c>
      <c r="B1733" s="2">
        <v>21</v>
      </c>
      <c r="C1733" s="2">
        <v>4</v>
      </c>
      <c r="D1733" s="11" t="str">
        <f t="shared" si="36"/>
        <v>UN</v>
      </c>
      <c r="E1733" s="12">
        <v>19.25</v>
      </c>
      <c r="F1733" s="13">
        <v>0</v>
      </c>
      <c r="G1733" s="14" t="s">
        <v>198</v>
      </c>
    </row>
    <row r="1734" spans="1:7" x14ac:dyDescent="0.25">
      <c r="A1734" s="34" t="str">
        <f>"PIEZA 7150 SERIE A Nº 39"</f>
        <v>PIEZA 7150 SERIE A Nº 39</v>
      </c>
      <c r="B1734" s="2">
        <v>21</v>
      </c>
      <c r="C1734" s="2">
        <v>4</v>
      </c>
      <c r="D1734" s="11" t="str">
        <f t="shared" si="36"/>
        <v>UN</v>
      </c>
      <c r="E1734" s="12">
        <v>44.77</v>
      </c>
      <c r="F1734" s="13">
        <v>0</v>
      </c>
      <c r="G1734" s="14" t="s">
        <v>198</v>
      </c>
    </row>
    <row r="1735" spans="1:7" x14ac:dyDescent="0.25">
      <c r="A1735" s="34" t="str">
        <f>"PIEZA 7150 SERIE A Nº 40"</f>
        <v>PIEZA 7150 SERIE A Nº 40</v>
      </c>
      <c r="B1735" s="2">
        <v>21</v>
      </c>
      <c r="C1735" s="2">
        <v>2</v>
      </c>
      <c r="D1735" s="11" t="str">
        <f t="shared" si="36"/>
        <v>UN</v>
      </c>
      <c r="E1735" s="12">
        <v>47.4375</v>
      </c>
      <c r="F1735" s="13">
        <v>0</v>
      </c>
      <c r="G1735" s="14" t="s">
        <v>198</v>
      </c>
    </row>
    <row r="1736" spans="1:7" x14ac:dyDescent="0.25">
      <c r="A1736" s="34" t="str">
        <f>"PIEZA 7150 SERIE A Nº 41"</f>
        <v>PIEZA 7150 SERIE A Nº 41</v>
      </c>
      <c r="B1736" s="2">
        <v>21</v>
      </c>
      <c r="C1736" s="2">
        <v>14</v>
      </c>
      <c r="D1736" s="11" t="str">
        <f t="shared" si="36"/>
        <v>UN</v>
      </c>
      <c r="E1736" s="12">
        <v>27.5275</v>
      </c>
      <c r="F1736" s="13">
        <v>0</v>
      </c>
      <c r="G1736" s="14" t="s">
        <v>198</v>
      </c>
    </row>
    <row r="1737" spans="1:7" x14ac:dyDescent="0.25">
      <c r="A1737" s="34" t="str">
        <f>"PIEZA 7150 SERIE A Nº 42"</f>
        <v>PIEZA 7150 SERIE A Nº 42</v>
      </c>
      <c r="B1737" s="2">
        <v>21</v>
      </c>
      <c r="C1737" s="2">
        <v>5</v>
      </c>
      <c r="D1737" s="11" t="str">
        <f t="shared" si="36"/>
        <v>UN</v>
      </c>
      <c r="E1737" s="12">
        <v>7.90625</v>
      </c>
      <c r="F1737" s="13">
        <v>0</v>
      </c>
      <c r="G1737" s="14" t="s">
        <v>198</v>
      </c>
    </row>
    <row r="1738" spans="1:7" x14ac:dyDescent="0.25">
      <c r="A1738" s="34" t="str">
        <f>"PIEZA 7150 SERIE A Nº 45"</f>
        <v>PIEZA 7150 SERIE A Nº 45</v>
      </c>
      <c r="B1738" s="2">
        <v>21</v>
      </c>
      <c r="C1738" s="2">
        <v>3</v>
      </c>
      <c r="D1738" s="11" t="str">
        <f t="shared" ref="D1738:D1801" si="37">"UN"</f>
        <v>UN</v>
      </c>
      <c r="E1738" s="12">
        <v>38.321249999999992</v>
      </c>
      <c r="F1738" s="13">
        <v>0</v>
      </c>
      <c r="G1738" s="14" t="s">
        <v>198</v>
      </c>
    </row>
    <row r="1739" spans="1:7" x14ac:dyDescent="0.25">
      <c r="A1739" s="34" t="str">
        <f>"PIEZA 7150 SERIE A Nº 47"</f>
        <v>PIEZA 7150 SERIE A Nº 47</v>
      </c>
      <c r="B1739" s="2">
        <v>21</v>
      </c>
      <c r="C1739" s="2">
        <v>1</v>
      </c>
      <c r="D1739" s="11" t="str">
        <f t="shared" si="37"/>
        <v>UN</v>
      </c>
      <c r="E1739" s="12">
        <v>11.192500000000003</v>
      </c>
      <c r="F1739" s="13">
        <v>0</v>
      </c>
      <c r="G1739" s="14" t="s">
        <v>198</v>
      </c>
    </row>
    <row r="1740" spans="1:7" x14ac:dyDescent="0.25">
      <c r="A1740" s="34" t="str">
        <f>"PIEZA 7150 SERIE A Nº 52"</f>
        <v>PIEZA 7150 SERIE A Nº 52</v>
      </c>
      <c r="B1740" s="2">
        <v>21</v>
      </c>
      <c r="C1740" s="2">
        <v>1</v>
      </c>
      <c r="D1740" s="11" t="str">
        <f t="shared" si="37"/>
        <v>UN</v>
      </c>
      <c r="E1740" s="12">
        <v>7.2737500000000015</v>
      </c>
      <c r="F1740" s="13">
        <v>0</v>
      </c>
      <c r="G1740" s="14" t="s">
        <v>198</v>
      </c>
    </row>
    <row r="1741" spans="1:7" x14ac:dyDescent="0.25">
      <c r="A1741" s="34" t="str">
        <f>"PIEZA 7155 SERIE B Nº 05"</f>
        <v>PIEZA 7155 SERIE B Nº 05</v>
      </c>
      <c r="B1741" s="2">
        <v>21</v>
      </c>
      <c r="C1741" s="2">
        <v>9</v>
      </c>
      <c r="D1741" s="11" t="str">
        <f t="shared" si="37"/>
        <v>UN</v>
      </c>
      <c r="E1741" s="12">
        <v>311.85000000000002</v>
      </c>
      <c r="F1741" s="13">
        <v>0</v>
      </c>
      <c r="G1741" s="14" t="s">
        <v>198</v>
      </c>
    </row>
    <row r="1742" spans="1:7" x14ac:dyDescent="0.25">
      <c r="A1742" s="34" t="str">
        <f>"PIEZA 7155 SERIE D Nº 03"</f>
        <v>PIEZA 7155 SERIE D Nº 03</v>
      </c>
      <c r="B1742" s="2">
        <v>21</v>
      </c>
      <c r="C1742" s="2">
        <v>6</v>
      </c>
      <c r="D1742" s="11" t="str">
        <f t="shared" si="37"/>
        <v>UN</v>
      </c>
      <c r="E1742" s="12">
        <v>9.4049999999999976</v>
      </c>
      <c r="F1742" s="13">
        <v>0</v>
      </c>
      <c r="G1742" s="14" t="s">
        <v>198</v>
      </c>
    </row>
    <row r="1743" spans="1:7" x14ac:dyDescent="0.25">
      <c r="A1743" s="34" t="str">
        <f>"PIEZA 7155 SERIE D Nº 04"</f>
        <v>PIEZA 7155 SERIE D Nº 04</v>
      </c>
      <c r="B1743" s="2">
        <v>21</v>
      </c>
      <c r="C1743" s="2">
        <v>10</v>
      </c>
      <c r="D1743" s="11" t="str">
        <f t="shared" si="37"/>
        <v>UN</v>
      </c>
      <c r="E1743" s="12">
        <v>29.425000000000008</v>
      </c>
      <c r="F1743" s="13">
        <v>0</v>
      </c>
      <c r="G1743" s="14" t="s">
        <v>198</v>
      </c>
    </row>
    <row r="1744" spans="1:7" x14ac:dyDescent="0.25">
      <c r="A1744" s="34" t="str">
        <f>"PIEZA 7155 SERIE D Nº 07"</f>
        <v>PIEZA 7155 SERIE D Nº 07</v>
      </c>
      <c r="B1744" s="2">
        <v>21</v>
      </c>
      <c r="C1744" s="2">
        <v>7</v>
      </c>
      <c r="D1744" s="11" t="str">
        <f t="shared" si="37"/>
        <v>UN</v>
      </c>
      <c r="E1744" s="12">
        <v>10.972500000000002</v>
      </c>
      <c r="F1744" s="13">
        <v>0</v>
      </c>
      <c r="G1744" s="14" t="s">
        <v>198</v>
      </c>
    </row>
    <row r="1745" spans="1:7" x14ac:dyDescent="0.25">
      <c r="A1745" s="34" t="str">
        <f>"PIEZA 7155 SERIE D Nº 08"</f>
        <v>PIEZA 7155 SERIE D Nº 08</v>
      </c>
      <c r="B1745" s="2">
        <v>21</v>
      </c>
      <c r="C1745" s="2">
        <v>9</v>
      </c>
      <c r="D1745" s="11" t="str">
        <f t="shared" si="37"/>
        <v>UN</v>
      </c>
      <c r="E1745" s="12">
        <v>5.32125</v>
      </c>
      <c r="F1745" s="13">
        <v>0</v>
      </c>
      <c r="G1745" s="14" t="s">
        <v>198</v>
      </c>
    </row>
    <row r="1746" spans="1:7" x14ac:dyDescent="0.25">
      <c r="A1746" s="34" t="str">
        <f>"PIEZA 7155 SERIE D Nº 09"</f>
        <v>PIEZA 7155 SERIE D Nº 09</v>
      </c>
      <c r="B1746" s="2">
        <v>21</v>
      </c>
      <c r="C1746" s="2">
        <v>7</v>
      </c>
      <c r="D1746" s="11" t="str">
        <f t="shared" si="37"/>
        <v>UN</v>
      </c>
      <c r="E1746" s="12">
        <v>3.3687499999999999</v>
      </c>
      <c r="F1746" s="13">
        <v>0</v>
      </c>
      <c r="G1746" s="14" t="s">
        <v>198</v>
      </c>
    </row>
    <row r="1747" spans="1:7" x14ac:dyDescent="0.25">
      <c r="A1747" s="34" t="str">
        <f>"PIEZA 7155 SERIE D Nº 10"</f>
        <v>PIEZA 7155 SERIE D Nº 10</v>
      </c>
      <c r="B1747" s="2">
        <v>21</v>
      </c>
      <c r="C1747" s="2">
        <v>3</v>
      </c>
      <c r="D1747" s="11" t="str">
        <f t="shared" si="37"/>
        <v>UN</v>
      </c>
      <c r="E1747" s="12">
        <v>1.7737500000000004</v>
      </c>
      <c r="F1747" s="13">
        <v>0</v>
      </c>
      <c r="G1747" s="14" t="s">
        <v>198</v>
      </c>
    </row>
    <row r="1748" spans="1:7" x14ac:dyDescent="0.25">
      <c r="A1748" s="34" t="str">
        <f>"PIEZA 7156 SERIE A Nº 7"</f>
        <v>PIEZA 7156 SERIE A Nº 7</v>
      </c>
      <c r="B1748" s="2">
        <v>21</v>
      </c>
      <c r="C1748" s="2">
        <v>4</v>
      </c>
      <c r="D1748" s="11" t="str">
        <f t="shared" si="37"/>
        <v>UN</v>
      </c>
      <c r="E1748" s="12">
        <v>0</v>
      </c>
      <c r="F1748" s="13">
        <v>0</v>
      </c>
      <c r="G1748" s="14" t="s">
        <v>198</v>
      </c>
    </row>
    <row r="1749" spans="1:7" x14ac:dyDescent="0.25">
      <c r="A1749" s="34" t="str">
        <f>"PIEZA 7156 SERIE C Nº 2-4"</f>
        <v>PIEZA 7156 SERIE C Nº 2-4</v>
      </c>
      <c r="B1749" s="2">
        <v>21</v>
      </c>
      <c r="C1749" s="2">
        <v>3</v>
      </c>
      <c r="D1749" s="11" t="str">
        <f t="shared" si="37"/>
        <v>UN</v>
      </c>
      <c r="E1749" s="12">
        <v>5.8987499999999997</v>
      </c>
      <c r="F1749" s="13">
        <v>0</v>
      </c>
      <c r="G1749" s="14" t="s">
        <v>198</v>
      </c>
    </row>
    <row r="1750" spans="1:7" x14ac:dyDescent="0.25">
      <c r="A1750" s="34" t="str">
        <f>"PIEZA 7156 SERIE C Nº 2-5"</f>
        <v>PIEZA 7156 SERIE C Nº 2-5</v>
      </c>
      <c r="B1750" s="2">
        <v>21</v>
      </c>
      <c r="C1750" s="2">
        <v>1</v>
      </c>
      <c r="D1750" s="11" t="str">
        <f t="shared" si="37"/>
        <v>UN</v>
      </c>
      <c r="E1750" s="12">
        <v>1.9662500000000001</v>
      </c>
      <c r="F1750" s="13">
        <v>0</v>
      </c>
      <c r="G1750" s="14" t="s">
        <v>198</v>
      </c>
    </row>
    <row r="1751" spans="1:7" x14ac:dyDescent="0.25">
      <c r="A1751" s="34" t="str">
        <f>"PIEZA 7156 SERIE C Nº 2-7"</f>
        <v>PIEZA 7156 SERIE C Nº 2-7</v>
      </c>
      <c r="B1751" s="2">
        <v>21</v>
      </c>
      <c r="C1751" s="2">
        <v>4</v>
      </c>
      <c r="D1751" s="11" t="str">
        <f t="shared" si="37"/>
        <v>UN</v>
      </c>
      <c r="E1751" s="12">
        <v>29.480000000000004</v>
      </c>
      <c r="F1751" s="13">
        <v>0</v>
      </c>
      <c r="G1751" s="14" t="s">
        <v>198</v>
      </c>
    </row>
    <row r="1752" spans="1:7" x14ac:dyDescent="0.25">
      <c r="A1752" s="34" t="str">
        <f>"PIEZA 7165 SERIE A Nº 01"</f>
        <v>PIEZA 7165 SERIE A Nº 01</v>
      </c>
      <c r="B1752" s="2">
        <v>21</v>
      </c>
      <c r="C1752" s="2">
        <v>2</v>
      </c>
      <c r="D1752" s="11" t="str">
        <f t="shared" si="37"/>
        <v>UN</v>
      </c>
      <c r="E1752" s="12">
        <v>346.11500000000001</v>
      </c>
      <c r="F1752" s="13">
        <v>0</v>
      </c>
      <c r="G1752" s="14" t="s">
        <v>198</v>
      </c>
    </row>
    <row r="1753" spans="1:7" x14ac:dyDescent="0.25">
      <c r="A1753" s="34" t="str">
        <f>"PIEZA 7165 SERIE B Nº 06"</f>
        <v>PIEZA 7165 SERIE B Nº 06</v>
      </c>
      <c r="B1753" s="2">
        <v>21</v>
      </c>
      <c r="C1753" s="2">
        <v>6</v>
      </c>
      <c r="D1753" s="11" t="str">
        <f t="shared" si="37"/>
        <v>UN</v>
      </c>
      <c r="E1753" s="12">
        <v>27.142500000000009</v>
      </c>
      <c r="F1753" s="13">
        <v>0</v>
      </c>
      <c r="G1753" s="14" t="s">
        <v>198</v>
      </c>
    </row>
    <row r="1754" spans="1:7" x14ac:dyDescent="0.25">
      <c r="A1754" s="34" t="str">
        <f>"PIEZA 7165 SERIE C Nº 03"</f>
        <v>PIEZA 7165 SERIE C Nº 03</v>
      </c>
      <c r="B1754" s="2">
        <v>21</v>
      </c>
      <c r="C1754" s="2">
        <v>4</v>
      </c>
      <c r="D1754" s="11" t="str">
        <f t="shared" si="37"/>
        <v>UN</v>
      </c>
      <c r="E1754" s="12">
        <v>64.405000000000015</v>
      </c>
      <c r="F1754" s="13">
        <v>0</v>
      </c>
      <c r="G1754" s="14" t="s">
        <v>198</v>
      </c>
    </row>
    <row r="1755" spans="1:7" x14ac:dyDescent="0.25">
      <c r="A1755" s="34" t="str">
        <f>"PIEZA 7165 SERIE C Nº 04"</f>
        <v>PIEZA 7165 SERIE C Nº 04</v>
      </c>
      <c r="B1755" s="2">
        <v>21</v>
      </c>
      <c r="C1755" s="2">
        <v>2</v>
      </c>
      <c r="D1755" s="11" t="str">
        <f t="shared" si="37"/>
        <v>UN</v>
      </c>
      <c r="E1755" s="12">
        <v>67.182500000000005</v>
      </c>
      <c r="F1755" s="13">
        <v>0</v>
      </c>
      <c r="G1755" s="14" t="s">
        <v>198</v>
      </c>
    </row>
    <row r="1756" spans="1:7" x14ac:dyDescent="0.25">
      <c r="A1756" s="34" t="str">
        <f>"PIEZA 7165 SERIE D Nº 19"</f>
        <v>PIEZA 7165 SERIE D Nº 19</v>
      </c>
      <c r="B1756" s="2">
        <v>21</v>
      </c>
      <c r="C1756" s="2">
        <v>4</v>
      </c>
      <c r="D1756" s="11" t="str">
        <f t="shared" si="37"/>
        <v>UN</v>
      </c>
      <c r="E1756" s="12">
        <v>11.549999999999999</v>
      </c>
      <c r="F1756" s="13">
        <v>0</v>
      </c>
      <c r="G1756" s="14" t="s">
        <v>198</v>
      </c>
    </row>
    <row r="1757" spans="1:7" x14ac:dyDescent="0.25">
      <c r="A1757" s="34" t="str">
        <f>"PIEZA 7166 SERIE D Nº 48 842118"</f>
        <v>PIEZA 7166 SERIE D Nº 48 842118</v>
      </c>
      <c r="B1757" s="2">
        <v>21</v>
      </c>
      <c r="C1757" s="2">
        <v>1</v>
      </c>
      <c r="D1757" s="11" t="str">
        <f t="shared" si="37"/>
        <v>UN</v>
      </c>
      <c r="E1757" s="12">
        <v>2.75</v>
      </c>
      <c r="F1757" s="13">
        <v>0</v>
      </c>
      <c r="G1757" s="14" t="s">
        <v>198</v>
      </c>
    </row>
    <row r="1758" spans="1:7" x14ac:dyDescent="0.25">
      <c r="A1758" s="34" t="str">
        <f>"PIEZA 7190 SERIE A Nº 33"</f>
        <v>PIEZA 7190 SERIE A Nº 33</v>
      </c>
      <c r="B1758" s="2">
        <v>21</v>
      </c>
      <c r="C1758" s="2">
        <v>8</v>
      </c>
      <c r="D1758" s="11" t="str">
        <f t="shared" si="37"/>
        <v>UN</v>
      </c>
      <c r="E1758" s="12">
        <v>79.750000000000014</v>
      </c>
      <c r="F1758" s="13">
        <v>0</v>
      </c>
      <c r="G1758" s="14" t="s">
        <v>198</v>
      </c>
    </row>
    <row r="1759" spans="1:7" x14ac:dyDescent="0.25">
      <c r="A1759" s="34" t="str">
        <f>"PIEZA 7190 SERIE B Nº 02"</f>
        <v>PIEZA 7190 SERIE B Nº 02</v>
      </c>
      <c r="B1759" s="2">
        <v>21</v>
      </c>
      <c r="C1759" s="2">
        <v>1</v>
      </c>
      <c r="D1759" s="11" t="str">
        <f t="shared" si="37"/>
        <v>UN</v>
      </c>
      <c r="E1759" s="12">
        <v>1.7875000000000003</v>
      </c>
      <c r="F1759" s="13">
        <v>0</v>
      </c>
      <c r="G1759" s="14" t="s">
        <v>198</v>
      </c>
    </row>
    <row r="1760" spans="1:7" x14ac:dyDescent="0.25">
      <c r="A1760" s="34" t="str">
        <f>"PIEZA 7190 SERIE B Nº 04"</f>
        <v>PIEZA 7190 SERIE B Nº 04</v>
      </c>
      <c r="B1760" s="2">
        <v>21</v>
      </c>
      <c r="C1760" s="2">
        <v>1</v>
      </c>
      <c r="D1760" s="11" t="str">
        <f t="shared" si="37"/>
        <v>UN</v>
      </c>
      <c r="E1760" s="12">
        <v>2.2000000000000002</v>
      </c>
      <c r="F1760" s="13">
        <v>0</v>
      </c>
      <c r="G1760" s="14" t="s">
        <v>198</v>
      </c>
    </row>
    <row r="1761" spans="1:7" x14ac:dyDescent="0.25">
      <c r="A1761" s="34" t="str">
        <f>"PIEZA 7200 SERIE B Nº 14"</f>
        <v>PIEZA 7200 SERIE B Nº 14</v>
      </c>
      <c r="B1761" s="2">
        <v>21</v>
      </c>
      <c r="C1761" s="2">
        <v>3</v>
      </c>
      <c r="D1761" s="11" t="str">
        <f t="shared" si="37"/>
        <v>UN</v>
      </c>
      <c r="E1761" s="12">
        <v>8.6625000000000014</v>
      </c>
      <c r="F1761" s="13">
        <v>0</v>
      </c>
      <c r="G1761" s="14" t="s">
        <v>198</v>
      </c>
    </row>
    <row r="1762" spans="1:7" x14ac:dyDescent="0.25">
      <c r="A1762" s="34" t="str">
        <f>"PIEZA 7200 SERIE B Nº 16"</f>
        <v>PIEZA 7200 SERIE B Nº 16</v>
      </c>
      <c r="B1762" s="2">
        <v>21</v>
      </c>
      <c r="C1762" s="2">
        <v>5</v>
      </c>
      <c r="D1762" s="11" t="str">
        <f t="shared" si="37"/>
        <v>UN</v>
      </c>
      <c r="E1762" s="12">
        <v>9.8312499999999989</v>
      </c>
      <c r="F1762" s="13">
        <v>0</v>
      </c>
      <c r="G1762" s="14" t="s">
        <v>198</v>
      </c>
    </row>
    <row r="1763" spans="1:7" x14ac:dyDescent="0.25">
      <c r="A1763" s="34" t="str">
        <f>"PIEZA 7200 SERIE B Nº 17"</f>
        <v>PIEZA 7200 SERIE B Nº 17</v>
      </c>
      <c r="B1763" s="2">
        <v>21</v>
      </c>
      <c r="C1763" s="2">
        <v>5</v>
      </c>
      <c r="D1763" s="11" t="str">
        <f t="shared" si="37"/>
        <v>UN</v>
      </c>
      <c r="E1763" s="12">
        <v>34.306250000000006</v>
      </c>
      <c r="F1763" s="13">
        <v>0</v>
      </c>
      <c r="G1763" s="14" t="s">
        <v>198</v>
      </c>
    </row>
    <row r="1764" spans="1:7" x14ac:dyDescent="0.25">
      <c r="A1764" s="34" t="str">
        <f>"PIEZA 7200 SERIE B Nº 18"</f>
        <v>PIEZA 7200 SERIE B Nº 18</v>
      </c>
      <c r="B1764" s="2">
        <v>21</v>
      </c>
      <c r="C1764" s="2">
        <v>4</v>
      </c>
      <c r="D1764" s="11" t="str">
        <f t="shared" si="37"/>
        <v>UN</v>
      </c>
      <c r="E1764" s="12">
        <v>9.4049999999999994</v>
      </c>
      <c r="F1764" s="13">
        <v>0</v>
      </c>
      <c r="G1764" s="14" t="s">
        <v>198</v>
      </c>
    </row>
    <row r="1765" spans="1:7" x14ac:dyDescent="0.25">
      <c r="A1765" s="34" t="str">
        <f>"PIEZA 7200 SERIE B Nº 21"</f>
        <v>PIEZA 7200 SERIE B Nº 21</v>
      </c>
      <c r="B1765" s="2">
        <v>21</v>
      </c>
      <c r="C1765" s="2">
        <v>3</v>
      </c>
      <c r="D1765" s="11" t="str">
        <f t="shared" si="37"/>
        <v>UN</v>
      </c>
      <c r="E1765" s="12">
        <v>27.101250000000004</v>
      </c>
      <c r="F1765" s="13">
        <v>0</v>
      </c>
      <c r="G1765" s="14" t="s">
        <v>198</v>
      </c>
    </row>
    <row r="1766" spans="1:7" x14ac:dyDescent="0.25">
      <c r="A1766" s="34" t="str">
        <f>"PIEZA 7200 SERIE C Nº 15"</f>
        <v>PIEZA 7200 SERIE C Nº 15</v>
      </c>
      <c r="B1766" s="2">
        <v>21</v>
      </c>
      <c r="C1766" s="2">
        <v>9</v>
      </c>
      <c r="D1766" s="11" t="str">
        <f t="shared" si="37"/>
        <v>UN</v>
      </c>
      <c r="E1766" s="12">
        <v>5.3212500000000009</v>
      </c>
      <c r="F1766" s="13">
        <v>0</v>
      </c>
      <c r="G1766" s="14" t="s">
        <v>198</v>
      </c>
    </row>
    <row r="1767" spans="1:7" x14ac:dyDescent="0.25">
      <c r="A1767" s="34" t="str">
        <f>"PIEZA 7200 SERIE C Nº 34"</f>
        <v>PIEZA 7200 SERIE C Nº 34</v>
      </c>
      <c r="B1767" s="2">
        <v>21</v>
      </c>
      <c r="C1767" s="2">
        <v>4</v>
      </c>
      <c r="D1767" s="11" t="str">
        <f t="shared" si="37"/>
        <v>UN</v>
      </c>
      <c r="E1767" s="12">
        <v>10.230000000000002</v>
      </c>
      <c r="F1767" s="13">
        <v>0</v>
      </c>
      <c r="G1767" s="14" t="s">
        <v>198</v>
      </c>
    </row>
    <row r="1768" spans="1:7" x14ac:dyDescent="0.25">
      <c r="A1768" s="34" t="str">
        <f>"PIEZA 7200 SERIE C Nº 35"</f>
        <v>PIEZA 7200 SERIE C Nº 35</v>
      </c>
      <c r="B1768" s="2">
        <v>21</v>
      </c>
      <c r="C1768" s="2">
        <v>2</v>
      </c>
      <c r="D1768" s="11" t="str">
        <f t="shared" si="37"/>
        <v>UN</v>
      </c>
      <c r="E1768" s="12">
        <v>43.615000000000002</v>
      </c>
      <c r="F1768" s="13">
        <v>0</v>
      </c>
      <c r="G1768" s="14" t="s">
        <v>198</v>
      </c>
    </row>
    <row r="1769" spans="1:7" x14ac:dyDescent="0.25">
      <c r="A1769" s="34" t="str">
        <f>"PIEZA 7200 SERIE C Nº 42"</f>
        <v>PIEZA 7200 SERIE C Nº 42</v>
      </c>
      <c r="B1769" s="2">
        <v>21</v>
      </c>
      <c r="C1769" s="2">
        <v>4</v>
      </c>
      <c r="D1769" s="11" t="str">
        <f t="shared" si="37"/>
        <v>UN</v>
      </c>
      <c r="E1769" s="12">
        <v>47.905000000000008</v>
      </c>
      <c r="F1769" s="13">
        <v>0</v>
      </c>
      <c r="G1769" s="14" t="s">
        <v>198</v>
      </c>
    </row>
    <row r="1770" spans="1:7" x14ac:dyDescent="0.25">
      <c r="A1770" s="34" t="str">
        <f>"PIEZA 7300 SERIE A Nº 16"</f>
        <v>PIEZA 7300 SERIE A Nº 16</v>
      </c>
      <c r="B1770" s="2">
        <v>21</v>
      </c>
      <c r="C1770" s="2">
        <v>1</v>
      </c>
      <c r="D1770" s="11" t="str">
        <f t="shared" si="37"/>
        <v>UN</v>
      </c>
      <c r="E1770" s="12">
        <v>14.231249999999999</v>
      </c>
      <c r="F1770" s="13">
        <v>0</v>
      </c>
      <c r="G1770" s="14" t="s">
        <v>198</v>
      </c>
    </row>
    <row r="1771" spans="1:7" x14ac:dyDescent="0.25">
      <c r="A1771" s="34" t="str">
        <f>"PIEZA 7300 SERIE A Nº 21"</f>
        <v>PIEZA 7300 SERIE A Nº 21</v>
      </c>
      <c r="B1771" s="2">
        <v>21</v>
      </c>
      <c r="C1771" s="2">
        <v>5</v>
      </c>
      <c r="D1771" s="11" t="str">
        <f t="shared" si="37"/>
        <v>UN</v>
      </c>
      <c r="E1771" s="12">
        <v>12.375</v>
      </c>
      <c r="F1771" s="13">
        <v>0</v>
      </c>
      <c r="G1771" s="14" t="s">
        <v>198</v>
      </c>
    </row>
    <row r="1772" spans="1:7" x14ac:dyDescent="0.25">
      <c r="A1772" s="34" t="str">
        <f>"PIEZA 7300 SERIE A Nº 26"</f>
        <v>PIEZA 7300 SERIE A Nº 26</v>
      </c>
      <c r="B1772" s="2">
        <v>21</v>
      </c>
      <c r="C1772" s="2">
        <v>2</v>
      </c>
      <c r="D1772" s="11" t="str">
        <f t="shared" si="37"/>
        <v>UN</v>
      </c>
      <c r="E1772" s="12">
        <v>3.6025000000000009</v>
      </c>
      <c r="F1772" s="13">
        <v>0</v>
      </c>
      <c r="G1772" s="14" t="s">
        <v>198</v>
      </c>
    </row>
    <row r="1773" spans="1:7" x14ac:dyDescent="0.25">
      <c r="A1773" s="34" t="str">
        <f>"PIEZA 7300 SERIE A Nº 28"</f>
        <v>PIEZA 7300 SERIE A Nº 28</v>
      </c>
      <c r="B1773" s="2">
        <v>21</v>
      </c>
      <c r="C1773" s="2">
        <v>1</v>
      </c>
      <c r="D1773" s="11" t="str">
        <f t="shared" si="37"/>
        <v>UN</v>
      </c>
      <c r="E1773" s="12">
        <v>4.7437500000000004</v>
      </c>
      <c r="F1773" s="13">
        <v>0</v>
      </c>
      <c r="G1773" s="14" t="s">
        <v>198</v>
      </c>
    </row>
    <row r="1774" spans="1:7" x14ac:dyDescent="0.25">
      <c r="A1774" s="34" t="str">
        <f>"PIEZA 7300 SERIE A Nº 42"</f>
        <v>PIEZA 7300 SERIE A Nº 42</v>
      </c>
      <c r="B1774" s="2">
        <v>21</v>
      </c>
      <c r="C1774" s="2">
        <v>3</v>
      </c>
      <c r="D1774" s="11" t="str">
        <f t="shared" si="37"/>
        <v>UN</v>
      </c>
      <c r="E1774" s="12">
        <v>40.672500000000007</v>
      </c>
      <c r="F1774" s="13">
        <v>0</v>
      </c>
      <c r="G1774" s="14" t="s">
        <v>198</v>
      </c>
    </row>
    <row r="1775" spans="1:7" x14ac:dyDescent="0.25">
      <c r="A1775" s="34" t="str">
        <f>"PIEZA 7300 SERIE A Nº 43"</f>
        <v>PIEZA 7300 SERIE A Nº 43</v>
      </c>
      <c r="B1775" s="2">
        <v>21</v>
      </c>
      <c r="C1775" s="2">
        <v>4</v>
      </c>
      <c r="D1775" s="11" t="str">
        <f t="shared" si="37"/>
        <v>UN</v>
      </c>
      <c r="E1775" s="12">
        <v>44.77000000000001</v>
      </c>
      <c r="F1775" s="13">
        <v>0</v>
      </c>
      <c r="G1775" s="14" t="s">
        <v>198</v>
      </c>
    </row>
    <row r="1776" spans="1:7" x14ac:dyDescent="0.25">
      <c r="A1776" s="34" t="str">
        <f>"PIEZA 7450 SERIE A Nº 28"</f>
        <v>PIEZA 7450 SERIE A Nº 28</v>
      </c>
      <c r="B1776" s="2">
        <v>21</v>
      </c>
      <c r="C1776" s="2">
        <v>1</v>
      </c>
      <c r="D1776" s="11" t="str">
        <f t="shared" si="37"/>
        <v>UN</v>
      </c>
      <c r="E1776" s="12">
        <v>33.481250000000003</v>
      </c>
      <c r="F1776" s="13">
        <v>0</v>
      </c>
      <c r="G1776" s="14" t="s">
        <v>198</v>
      </c>
    </row>
    <row r="1777" spans="1:7" x14ac:dyDescent="0.25">
      <c r="A1777" s="34" t="str">
        <f>"PIEZA 7450 SERIE A Nº 44"</f>
        <v>PIEZA 7450 SERIE A Nº 44</v>
      </c>
      <c r="B1777" s="2">
        <v>21</v>
      </c>
      <c r="C1777" s="2">
        <v>2</v>
      </c>
      <c r="D1777" s="11" t="str">
        <f t="shared" si="37"/>
        <v>UN</v>
      </c>
      <c r="E1777" s="12">
        <v>21.725000000000001</v>
      </c>
      <c r="F1777" s="13">
        <v>0</v>
      </c>
      <c r="G1777" s="14" t="s">
        <v>198</v>
      </c>
    </row>
    <row r="1778" spans="1:7" x14ac:dyDescent="0.25">
      <c r="A1778" s="34" t="str">
        <f>"PIEZA 7500 SERIE B Nº 31"</f>
        <v>PIEZA 7500 SERIE B Nº 31</v>
      </c>
      <c r="B1778" s="2">
        <v>21</v>
      </c>
      <c r="C1778" s="2">
        <v>4</v>
      </c>
      <c r="D1778" s="11" t="str">
        <f t="shared" si="37"/>
        <v>UN</v>
      </c>
      <c r="E1778" s="12">
        <v>3.3</v>
      </c>
      <c r="F1778" s="13">
        <v>0</v>
      </c>
      <c r="G1778" s="14" t="s">
        <v>198</v>
      </c>
    </row>
    <row r="1779" spans="1:7" x14ac:dyDescent="0.25">
      <c r="A1779" s="34" t="str">
        <f>"PIEZA 7500 SERIE B Nº 32"</f>
        <v>PIEZA 7500 SERIE B Nº 32</v>
      </c>
      <c r="B1779" s="2">
        <v>21</v>
      </c>
      <c r="C1779" s="2">
        <v>2</v>
      </c>
      <c r="D1779" s="11" t="str">
        <f t="shared" si="37"/>
        <v>UN</v>
      </c>
      <c r="E1779" s="12">
        <v>50.874999999999993</v>
      </c>
      <c r="F1779" s="13">
        <v>0</v>
      </c>
      <c r="G1779" s="14" t="s">
        <v>198</v>
      </c>
    </row>
    <row r="1780" spans="1:7" x14ac:dyDescent="0.25">
      <c r="A1780" s="34" t="str">
        <f>"PIEZA 7500 SERIE B Nº 34"</f>
        <v>PIEZA 7500 SERIE B Nº 34</v>
      </c>
      <c r="B1780" s="2">
        <v>21</v>
      </c>
      <c r="C1780" s="2">
        <v>3</v>
      </c>
      <c r="D1780" s="11" t="str">
        <f t="shared" si="37"/>
        <v>UN</v>
      </c>
      <c r="E1780" s="12">
        <v>128.70000000000002</v>
      </c>
      <c r="F1780" s="13">
        <v>0</v>
      </c>
      <c r="G1780" s="14" t="s">
        <v>198</v>
      </c>
    </row>
    <row r="1781" spans="1:7" x14ac:dyDescent="0.25">
      <c r="A1781" s="34" t="str">
        <f>"PIEZA 7500 SERIE B Nº 35"</f>
        <v>PIEZA 7500 SERIE B Nº 35</v>
      </c>
      <c r="B1781" s="2">
        <v>21</v>
      </c>
      <c r="C1781" s="2">
        <v>4</v>
      </c>
      <c r="D1781" s="11" t="str">
        <f t="shared" si="37"/>
        <v>UN</v>
      </c>
      <c r="E1781" s="12">
        <v>2.75</v>
      </c>
      <c r="F1781" s="13">
        <v>0</v>
      </c>
      <c r="G1781" s="14" t="s">
        <v>198</v>
      </c>
    </row>
    <row r="1782" spans="1:7" x14ac:dyDescent="0.25">
      <c r="A1782" s="34" t="str">
        <f>"PIEZA 7600 SERIE B Nº 27"</f>
        <v>PIEZA 7600 SERIE B Nº 27</v>
      </c>
      <c r="B1782" s="2">
        <v>21</v>
      </c>
      <c r="C1782" s="2">
        <v>8</v>
      </c>
      <c r="D1782" s="11" t="str">
        <f t="shared" si="37"/>
        <v>UN</v>
      </c>
      <c r="E1782" s="12">
        <v>41.25</v>
      </c>
      <c r="F1782" s="13">
        <v>0</v>
      </c>
      <c r="G1782" s="14" t="s">
        <v>198</v>
      </c>
    </row>
    <row r="1783" spans="1:7" x14ac:dyDescent="0.25">
      <c r="A1783" s="34" t="str">
        <f>"PIEZA 7620 SERIE A Nº 03"</f>
        <v>PIEZA 7620 SERIE A Nº 03</v>
      </c>
      <c r="B1783" s="2">
        <v>21</v>
      </c>
      <c r="C1783" s="2">
        <v>1</v>
      </c>
      <c r="D1783" s="11" t="str">
        <f t="shared" si="37"/>
        <v>UN</v>
      </c>
      <c r="E1783" s="12">
        <v>5.7750000000000012</v>
      </c>
      <c r="F1783" s="13">
        <v>0</v>
      </c>
      <c r="G1783" s="14" t="s">
        <v>198</v>
      </c>
    </row>
    <row r="1784" spans="1:7" x14ac:dyDescent="0.25">
      <c r="A1784" s="34" t="str">
        <f>"PIEZA 7620 SERIE A Nº 04"</f>
        <v>PIEZA 7620 SERIE A Nº 04</v>
      </c>
      <c r="B1784" s="2">
        <v>21</v>
      </c>
      <c r="C1784" s="2">
        <v>3</v>
      </c>
      <c r="D1784" s="11" t="str">
        <f t="shared" si="37"/>
        <v>UN</v>
      </c>
      <c r="E1784" s="12">
        <v>4.5375000000000014</v>
      </c>
      <c r="F1784" s="13">
        <v>0</v>
      </c>
      <c r="G1784" s="14" t="s">
        <v>198</v>
      </c>
    </row>
    <row r="1785" spans="1:7" x14ac:dyDescent="0.25">
      <c r="A1785" s="34" t="str">
        <f>"PIEZA 7620 SERIE A Nº 13"</f>
        <v>PIEZA 7620 SERIE A Nº 13</v>
      </c>
      <c r="B1785" s="2">
        <v>21</v>
      </c>
      <c r="C1785" s="2">
        <v>6</v>
      </c>
      <c r="D1785" s="11" t="str">
        <f t="shared" si="37"/>
        <v>UN</v>
      </c>
      <c r="E1785" s="12">
        <v>82.500000000000028</v>
      </c>
      <c r="F1785" s="13">
        <v>0</v>
      </c>
      <c r="G1785" s="14" t="s">
        <v>198</v>
      </c>
    </row>
    <row r="1786" spans="1:7" x14ac:dyDescent="0.25">
      <c r="A1786" s="34" t="str">
        <f>"PIEZA 7620 SERIE C Nº 20"</f>
        <v>PIEZA 7620 SERIE C Nº 20</v>
      </c>
      <c r="B1786" s="2">
        <v>21</v>
      </c>
      <c r="C1786" s="2">
        <v>2</v>
      </c>
      <c r="D1786" s="11" t="str">
        <f t="shared" si="37"/>
        <v>UN</v>
      </c>
      <c r="E1786" s="12">
        <v>4.95</v>
      </c>
      <c r="F1786" s="13">
        <v>0</v>
      </c>
      <c r="G1786" s="14" t="s">
        <v>198</v>
      </c>
    </row>
    <row r="1787" spans="1:7" x14ac:dyDescent="0.25">
      <c r="A1787" s="34" t="str">
        <f>"PIEZA 7662 SERIE A Nº 02"</f>
        <v>PIEZA 7662 SERIE A Nº 02</v>
      </c>
      <c r="B1787" s="2">
        <v>21</v>
      </c>
      <c r="C1787" s="2">
        <v>2</v>
      </c>
      <c r="D1787" s="11" t="str">
        <f t="shared" si="37"/>
        <v>UN</v>
      </c>
      <c r="E1787" s="12">
        <v>2.4749999999999996</v>
      </c>
      <c r="F1787" s="13">
        <v>0</v>
      </c>
      <c r="G1787" s="14" t="s">
        <v>198</v>
      </c>
    </row>
    <row r="1788" spans="1:7" x14ac:dyDescent="0.25">
      <c r="A1788" s="34" t="str">
        <f>"PIEZA 7664 SERIE A Nº 28"</f>
        <v>PIEZA 7664 SERIE A Nº 28</v>
      </c>
      <c r="B1788" s="2">
        <v>21</v>
      </c>
      <c r="C1788" s="2">
        <v>1</v>
      </c>
      <c r="D1788" s="11" t="str">
        <f t="shared" si="37"/>
        <v>UN</v>
      </c>
      <c r="E1788" s="12">
        <v>26.908750000000005</v>
      </c>
      <c r="F1788" s="13">
        <v>0</v>
      </c>
      <c r="G1788" s="14" t="s">
        <v>198</v>
      </c>
    </row>
    <row r="1789" spans="1:7" x14ac:dyDescent="0.25">
      <c r="A1789" s="34" t="str">
        <f>"PIEZA 7664 SERIE A Nº 33"</f>
        <v>PIEZA 7664 SERIE A Nº 33</v>
      </c>
      <c r="B1789" s="2">
        <v>21</v>
      </c>
      <c r="C1789" s="2">
        <v>1</v>
      </c>
      <c r="D1789" s="11" t="str">
        <f t="shared" si="37"/>
        <v>UN</v>
      </c>
      <c r="E1789" s="12">
        <v>8.6624999999999996</v>
      </c>
      <c r="F1789" s="13">
        <v>0</v>
      </c>
      <c r="G1789" s="14" t="s">
        <v>198</v>
      </c>
    </row>
    <row r="1790" spans="1:7" x14ac:dyDescent="0.25">
      <c r="A1790" s="34" t="str">
        <f>"PIEZA 7664 SERIE A Nº 46"</f>
        <v>PIEZA 7664 SERIE A Nº 46</v>
      </c>
      <c r="B1790" s="2">
        <v>21</v>
      </c>
      <c r="C1790" s="2">
        <v>1</v>
      </c>
      <c r="D1790" s="11" t="str">
        <f t="shared" si="37"/>
        <v>UN</v>
      </c>
      <c r="E1790" s="12">
        <v>26.908750000000001</v>
      </c>
      <c r="F1790" s="13">
        <v>0</v>
      </c>
      <c r="G1790" s="14" t="s">
        <v>198</v>
      </c>
    </row>
    <row r="1791" spans="1:7" x14ac:dyDescent="0.25">
      <c r="A1791" s="34" t="str">
        <f>"PIEZA 7664 SERIE B Nº 21"</f>
        <v>PIEZA 7664 SERIE B Nº 21</v>
      </c>
      <c r="B1791" s="2">
        <v>21</v>
      </c>
      <c r="C1791" s="2">
        <v>8</v>
      </c>
      <c r="D1791" s="11" t="str">
        <f t="shared" si="37"/>
        <v>UN</v>
      </c>
      <c r="E1791" s="12">
        <v>23.1</v>
      </c>
      <c r="F1791" s="13">
        <v>0</v>
      </c>
      <c r="G1791" s="14" t="s">
        <v>198</v>
      </c>
    </row>
    <row r="1792" spans="1:7" x14ac:dyDescent="0.25">
      <c r="A1792" s="34" t="str">
        <f>"PIEZA 7664 SERIE B Nº 36"</f>
        <v>PIEZA 7664 SERIE B Nº 36</v>
      </c>
      <c r="B1792" s="2">
        <v>21</v>
      </c>
      <c r="C1792" s="2">
        <v>1</v>
      </c>
      <c r="D1792" s="11" t="str">
        <f t="shared" si="37"/>
        <v>UN</v>
      </c>
      <c r="E1792" s="12">
        <v>18.7</v>
      </c>
      <c r="F1792" s="13">
        <v>0</v>
      </c>
      <c r="G1792" s="14" t="s">
        <v>198</v>
      </c>
    </row>
    <row r="1793" spans="1:7" x14ac:dyDescent="0.25">
      <c r="A1793" s="34" t="str">
        <f>"PIEZA 7664 SERIE B Nº 37"</f>
        <v>PIEZA 7664 SERIE B Nº 37</v>
      </c>
      <c r="B1793" s="2">
        <v>21</v>
      </c>
      <c r="C1793" s="2">
        <v>3</v>
      </c>
      <c r="D1793" s="11" t="str">
        <f t="shared" si="37"/>
        <v>UN</v>
      </c>
      <c r="E1793" s="12">
        <v>8.6625000000000032</v>
      </c>
      <c r="F1793" s="13">
        <v>0</v>
      </c>
      <c r="G1793" s="14" t="s">
        <v>198</v>
      </c>
    </row>
    <row r="1794" spans="1:7" x14ac:dyDescent="0.25">
      <c r="A1794" s="34" t="str">
        <f>"PIEZA 7664 SERIE B Nº 42"</f>
        <v>PIEZA 7664 SERIE B Nº 42</v>
      </c>
      <c r="B1794" s="2">
        <v>21</v>
      </c>
      <c r="C1794" s="2">
        <v>4</v>
      </c>
      <c r="D1794" s="11" t="str">
        <f t="shared" si="37"/>
        <v>UN</v>
      </c>
      <c r="E1794" s="12">
        <v>11.55</v>
      </c>
      <c r="F1794" s="13">
        <v>0</v>
      </c>
      <c r="G1794" s="14" t="s">
        <v>198</v>
      </c>
    </row>
    <row r="1795" spans="1:7" x14ac:dyDescent="0.25">
      <c r="A1795" s="34" t="str">
        <f>"PIEZA 7664 SERIE B Nº 43"</f>
        <v>PIEZA 7664 SERIE B Nº 43</v>
      </c>
      <c r="B1795" s="2">
        <v>21</v>
      </c>
      <c r="C1795" s="2">
        <v>3</v>
      </c>
      <c r="D1795" s="11" t="str">
        <f t="shared" si="37"/>
        <v>UN</v>
      </c>
      <c r="E1795" s="12">
        <v>23.924999999999997</v>
      </c>
      <c r="F1795" s="13">
        <v>0</v>
      </c>
      <c r="G1795" s="14" t="s">
        <v>198</v>
      </c>
    </row>
    <row r="1796" spans="1:7" x14ac:dyDescent="0.25">
      <c r="A1796" s="34" t="str">
        <f>"PIEZA 7664 SERIE B Nº 44"</f>
        <v>PIEZA 7664 SERIE B Nº 44</v>
      </c>
      <c r="B1796" s="2">
        <v>21</v>
      </c>
      <c r="C1796" s="2">
        <v>2</v>
      </c>
      <c r="D1796" s="11" t="str">
        <f t="shared" si="37"/>
        <v>UN</v>
      </c>
      <c r="E1796" s="12">
        <v>53.075000000000017</v>
      </c>
      <c r="F1796" s="13">
        <v>0</v>
      </c>
      <c r="G1796" s="14" t="s">
        <v>198</v>
      </c>
    </row>
    <row r="1797" spans="1:7" x14ac:dyDescent="0.25">
      <c r="A1797" s="34" t="str">
        <f>"PIEZA 7666 SERIE A Nº 02"</f>
        <v>PIEZA 7666 SERIE A Nº 02</v>
      </c>
      <c r="B1797" s="2">
        <v>21</v>
      </c>
      <c r="C1797" s="2">
        <v>7</v>
      </c>
      <c r="D1797" s="11" t="str">
        <f t="shared" si="37"/>
        <v>UN</v>
      </c>
      <c r="E1797" s="12">
        <v>48.606250000000017</v>
      </c>
      <c r="F1797" s="13">
        <v>0</v>
      </c>
      <c r="G1797" s="14" t="s">
        <v>198</v>
      </c>
    </row>
    <row r="1798" spans="1:7" x14ac:dyDescent="0.25">
      <c r="A1798" s="34" t="str">
        <f>"PIEZA 7666 SERIE A Nº 06"</f>
        <v>PIEZA 7666 SERIE A Nº 06</v>
      </c>
      <c r="B1798" s="2">
        <v>21</v>
      </c>
      <c r="C1798" s="2">
        <v>4</v>
      </c>
      <c r="D1798" s="11" t="str">
        <f t="shared" si="37"/>
        <v>UN</v>
      </c>
      <c r="E1798" s="12">
        <v>8.58</v>
      </c>
      <c r="F1798" s="13">
        <v>0</v>
      </c>
      <c r="G1798" s="14" t="s">
        <v>198</v>
      </c>
    </row>
    <row r="1799" spans="1:7" x14ac:dyDescent="0.25">
      <c r="A1799" s="34" t="str">
        <f>"PIEZA 7666 SERIE A Nº 08"</f>
        <v>PIEZA 7666 SERIE A Nº 08</v>
      </c>
      <c r="B1799" s="2">
        <v>21</v>
      </c>
      <c r="C1799" s="2">
        <v>1</v>
      </c>
      <c r="D1799" s="11" t="str">
        <f t="shared" si="37"/>
        <v>UN</v>
      </c>
      <c r="E1799" s="12">
        <v>26.262500000000003</v>
      </c>
      <c r="F1799" s="13">
        <v>0</v>
      </c>
      <c r="G1799" s="14" t="s">
        <v>198</v>
      </c>
    </row>
    <row r="1800" spans="1:7" x14ac:dyDescent="0.25">
      <c r="A1800" s="34" t="str">
        <f>"PIEZA 7666 SERIE A Nº 09"</f>
        <v>PIEZA 7666 SERIE A Nº 09</v>
      </c>
      <c r="B1800" s="2">
        <v>21</v>
      </c>
      <c r="C1800" s="2">
        <v>17</v>
      </c>
      <c r="D1800" s="11" t="str">
        <f t="shared" si="37"/>
        <v>UN</v>
      </c>
      <c r="E1800" s="12">
        <v>31.556250000000006</v>
      </c>
      <c r="F1800" s="13">
        <v>0</v>
      </c>
      <c r="G1800" s="14" t="s">
        <v>198</v>
      </c>
    </row>
    <row r="1801" spans="1:7" x14ac:dyDescent="0.25">
      <c r="A1801" s="34" t="str">
        <f>"PIEZA 7666 SERIE A Nº 10"</f>
        <v>PIEZA 7666 SERIE A Nº 10</v>
      </c>
      <c r="B1801" s="2">
        <v>21</v>
      </c>
      <c r="C1801" s="2">
        <v>10</v>
      </c>
      <c r="D1801" s="11" t="str">
        <f t="shared" si="37"/>
        <v>UN</v>
      </c>
      <c r="E1801" s="12">
        <v>41.25</v>
      </c>
      <c r="F1801" s="13">
        <v>0</v>
      </c>
      <c r="G1801" s="14" t="s">
        <v>198</v>
      </c>
    </row>
    <row r="1802" spans="1:7" x14ac:dyDescent="0.25">
      <c r="A1802" s="34" t="str">
        <f>"PIEZA 7666 SERIE A Nº 13"</f>
        <v>PIEZA 7666 SERIE A Nº 13</v>
      </c>
      <c r="B1802" s="2">
        <v>21</v>
      </c>
      <c r="C1802" s="2">
        <v>3</v>
      </c>
      <c r="D1802" s="11" t="str">
        <f t="shared" ref="D1802:D1865" si="38">"UN"</f>
        <v>UN</v>
      </c>
      <c r="E1802" s="12">
        <v>17.531250000000004</v>
      </c>
      <c r="F1802" s="13">
        <v>0</v>
      </c>
      <c r="G1802" s="14" t="s">
        <v>198</v>
      </c>
    </row>
    <row r="1803" spans="1:7" x14ac:dyDescent="0.25">
      <c r="A1803" s="34" t="str">
        <f>"PIEZA 7666 SERIE A Nº 23"</f>
        <v>PIEZA 7666 SERIE A Nº 23</v>
      </c>
      <c r="B1803" s="2">
        <v>21</v>
      </c>
      <c r="C1803" s="2">
        <v>5</v>
      </c>
      <c r="D1803" s="11" t="str">
        <f t="shared" si="38"/>
        <v>UN</v>
      </c>
      <c r="E1803" s="12">
        <v>25.437500000000004</v>
      </c>
      <c r="F1803" s="13">
        <v>0</v>
      </c>
      <c r="G1803" s="14" t="s">
        <v>198</v>
      </c>
    </row>
    <row r="1804" spans="1:7" x14ac:dyDescent="0.25">
      <c r="A1804" s="34" t="str">
        <f>"PIEZA 7666 SERIE A Nº 32"</f>
        <v>PIEZA 7666 SERIE A Nº 32</v>
      </c>
      <c r="B1804" s="2">
        <v>21</v>
      </c>
      <c r="C1804" s="2">
        <v>1</v>
      </c>
      <c r="D1804" s="11" t="str">
        <f t="shared" si="38"/>
        <v>UN</v>
      </c>
      <c r="E1804" s="12">
        <v>20.831250000000001</v>
      </c>
      <c r="F1804" s="13">
        <v>0</v>
      </c>
      <c r="G1804" s="14" t="s">
        <v>198</v>
      </c>
    </row>
    <row r="1805" spans="1:7" x14ac:dyDescent="0.25">
      <c r="A1805" s="34" t="str">
        <f>"PIEZA 7666 SERIE A Nº 36"</f>
        <v>PIEZA 7666 SERIE A Nº 36</v>
      </c>
      <c r="B1805" s="2">
        <v>21</v>
      </c>
      <c r="C1805" s="2">
        <v>2</v>
      </c>
      <c r="D1805" s="11" t="str">
        <f t="shared" si="38"/>
        <v>UN</v>
      </c>
      <c r="E1805" s="12">
        <v>6.0500000000000016</v>
      </c>
      <c r="F1805" s="13">
        <v>0</v>
      </c>
      <c r="G1805" s="14" t="s">
        <v>198</v>
      </c>
    </row>
    <row r="1806" spans="1:7" x14ac:dyDescent="0.25">
      <c r="A1806" s="34" t="str">
        <f>"PIEZA 7666 SERIE A Nº 39"</f>
        <v>PIEZA 7666 SERIE A Nº 39</v>
      </c>
      <c r="B1806" s="2">
        <v>21</v>
      </c>
      <c r="C1806" s="2">
        <v>13</v>
      </c>
      <c r="D1806" s="11" t="str">
        <f t="shared" si="38"/>
        <v>UN</v>
      </c>
      <c r="E1806" s="12">
        <v>53.625000000000007</v>
      </c>
      <c r="F1806" s="13">
        <v>0</v>
      </c>
      <c r="G1806" s="14" t="s">
        <v>198</v>
      </c>
    </row>
    <row r="1807" spans="1:7" x14ac:dyDescent="0.25">
      <c r="A1807" s="34" t="str">
        <f>"PIEZA 7666 SERIE A Nº 40"</f>
        <v>PIEZA 7666 SERIE A Nº 40</v>
      </c>
      <c r="B1807" s="2">
        <v>21</v>
      </c>
      <c r="C1807" s="2">
        <v>2</v>
      </c>
      <c r="D1807" s="11" t="str">
        <f t="shared" si="38"/>
        <v>UN</v>
      </c>
      <c r="E1807" s="12">
        <v>2.2000000000000006</v>
      </c>
      <c r="F1807" s="13">
        <v>0</v>
      </c>
      <c r="G1807" s="14" t="s">
        <v>198</v>
      </c>
    </row>
    <row r="1808" spans="1:7" x14ac:dyDescent="0.25">
      <c r="A1808" s="34" t="str">
        <f>"PIEZA 7666 SERIE A Nº 41"</f>
        <v>PIEZA 7666 SERIE A Nº 41</v>
      </c>
      <c r="B1808" s="2">
        <v>21</v>
      </c>
      <c r="C1808" s="2">
        <v>4</v>
      </c>
      <c r="D1808" s="11" t="str">
        <f t="shared" si="38"/>
        <v>UN</v>
      </c>
      <c r="E1808" s="12">
        <v>26.015000000000004</v>
      </c>
      <c r="F1808" s="13">
        <v>0</v>
      </c>
      <c r="G1808" s="14" t="s">
        <v>198</v>
      </c>
    </row>
    <row r="1809" spans="1:7" x14ac:dyDescent="0.25">
      <c r="A1809" s="34" t="str">
        <f>"PIEZA 7666 SERIE A Nº 42"</f>
        <v>PIEZA 7666 SERIE A Nº 42</v>
      </c>
      <c r="B1809" s="2">
        <v>21</v>
      </c>
      <c r="C1809" s="2">
        <v>3</v>
      </c>
      <c r="D1809" s="11" t="str">
        <f t="shared" si="38"/>
        <v>UN</v>
      </c>
      <c r="E1809" s="12">
        <v>6.3937500000000007</v>
      </c>
      <c r="F1809" s="13">
        <v>0</v>
      </c>
      <c r="G1809" s="14" t="s">
        <v>198</v>
      </c>
    </row>
    <row r="1810" spans="1:7" x14ac:dyDescent="0.25">
      <c r="A1810" s="34" t="str">
        <f>"PIEZA 7666 SERIE B Nº 25"</f>
        <v>PIEZA 7666 SERIE B Nº 25</v>
      </c>
      <c r="B1810" s="2">
        <v>21</v>
      </c>
      <c r="C1810" s="2">
        <v>4</v>
      </c>
      <c r="D1810" s="11" t="str">
        <f t="shared" si="38"/>
        <v>UN</v>
      </c>
      <c r="E1810" s="12">
        <v>3.0250000000000004</v>
      </c>
      <c r="F1810" s="13">
        <v>0</v>
      </c>
      <c r="G1810" s="14" t="s">
        <v>198</v>
      </c>
    </row>
    <row r="1811" spans="1:7" x14ac:dyDescent="0.25">
      <c r="A1811" s="34" t="str">
        <f>"PIEZA 7666 SERIE C Nº 12-1"</f>
        <v>PIEZA 7666 SERIE C Nº 12-1</v>
      </c>
      <c r="B1811" s="2">
        <v>21</v>
      </c>
      <c r="C1811" s="2">
        <v>5</v>
      </c>
      <c r="D1811" s="11" t="str">
        <f t="shared" si="38"/>
        <v>UN</v>
      </c>
      <c r="E1811" s="12">
        <v>116.87500000000001</v>
      </c>
      <c r="F1811" s="13">
        <v>0</v>
      </c>
      <c r="G1811" s="14" t="s">
        <v>198</v>
      </c>
    </row>
    <row r="1812" spans="1:7" x14ac:dyDescent="0.25">
      <c r="A1812" s="34" t="str">
        <f>"PIEZA 7666 SERIE C Nº 20 B"</f>
        <v>PIEZA 7666 SERIE C Nº 20 B</v>
      </c>
      <c r="B1812" s="2">
        <v>21</v>
      </c>
      <c r="C1812" s="2">
        <v>3</v>
      </c>
      <c r="D1812" s="11" t="str">
        <f t="shared" si="38"/>
        <v>UN</v>
      </c>
      <c r="E1812" s="12">
        <v>37.125</v>
      </c>
      <c r="F1812" s="13">
        <v>0</v>
      </c>
      <c r="G1812" s="14" t="s">
        <v>198</v>
      </c>
    </row>
    <row r="1813" spans="1:7" x14ac:dyDescent="0.25">
      <c r="A1813" s="34" t="str">
        <f>"PIEZA 7666 SERIE C Nº 24"</f>
        <v>PIEZA 7666 SERIE C Nº 24</v>
      </c>
      <c r="B1813" s="2">
        <v>21</v>
      </c>
      <c r="C1813" s="2">
        <v>3</v>
      </c>
      <c r="D1813" s="11" t="str">
        <f t="shared" si="38"/>
        <v>UN</v>
      </c>
      <c r="E1813" s="12">
        <v>56.512500000000003</v>
      </c>
      <c r="F1813" s="13">
        <v>0</v>
      </c>
      <c r="G1813" s="14" t="s">
        <v>198</v>
      </c>
    </row>
    <row r="1814" spans="1:7" x14ac:dyDescent="0.25">
      <c r="A1814" s="34" t="str">
        <f>"PIEZA 7666 SERIE C Nº 29"</f>
        <v>PIEZA 7666 SERIE C Nº 29</v>
      </c>
      <c r="B1814" s="2">
        <v>21</v>
      </c>
      <c r="C1814" s="2">
        <v>23</v>
      </c>
      <c r="D1814" s="11" t="str">
        <f t="shared" si="38"/>
        <v>UN</v>
      </c>
      <c r="E1814" s="12">
        <v>117.01250000000002</v>
      </c>
      <c r="F1814" s="13">
        <v>0</v>
      </c>
      <c r="G1814" s="14" t="s">
        <v>198</v>
      </c>
    </row>
    <row r="1815" spans="1:7" x14ac:dyDescent="0.25">
      <c r="A1815" s="34" t="str">
        <f>"PIEZA 7666 SERIE C Nº 30"</f>
        <v>PIEZA 7666 SERIE C Nº 30</v>
      </c>
      <c r="B1815" s="2">
        <v>21</v>
      </c>
      <c r="C1815" s="2">
        <v>10</v>
      </c>
      <c r="D1815" s="11" t="str">
        <f t="shared" si="38"/>
        <v>UN</v>
      </c>
      <c r="E1815" s="12">
        <v>494.31250000000017</v>
      </c>
      <c r="F1815" s="13">
        <v>0</v>
      </c>
      <c r="G1815" s="14" t="s">
        <v>198</v>
      </c>
    </row>
    <row r="1816" spans="1:7" x14ac:dyDescent="0.25">
      <c r="A1816" s="34" t="str">
        <f>"PIEZA 7666 SERIE C Nº 38"</f>
        <v>PIEZA 7666 SERIE C Nº 38</v>
      </c>
      <c r="B1816" s="2">
        <v>21</v>
      </c>
      <c r="C1816" s="2">
        <v>2</v>
      </c>
      <c r="D1816" s="11" t="str">
        <f t="shared" si="38"/>
        <v>UN</v>
      </c>
      <c r="E1816" s="12">
        <v>162.80000000000004</v>
      </c>
      <c r="F1816" s="13">
        <v>0</v>
      </c>
      <c r="G1816" s="14" t="s">
        <v>198</v>
      </c>
    </row>
    <row r="1817" spans="1:7" x14ac:dyDescent="0.25">
      <c r="A1817" s="34" t="str">
        <f>"PIEZA 7668 SERIE A Nº 29"</f>
        <v>PIEZA 7668 SERIE A Nº 29</v>
      </c>
      <c r="B1817" s="2">
        <v>21</v>
      </c>
      <c r="C1817" s="2">
        <v>5</v>
      </c>
      <c r="D1817" s="11" t="str">
        <f t="shared" si="38"/>
        <v>UN</v>
      </c>
      <c r="E1817" s="12">
        <v>54.037500000000016</v>
      </c>
      <c r="F1817" s="13">
        <v>0</v>
      </c>
      <c r="G1817" s="14" t="s">
        <v>198</v>
      </c>
    </row>
    <row r="1818" spans="1:7" x14ac:dyDescent="0.25">
      <c r="A1818" s="34" t="str">
        <f>"PIEZA 7668 SERIE B Nº 33"</f>
        <v>PIEZA 7668 SERIE B Nº 33</v>
      </c>
      <c r="B1818" s="2">
        <v>21</v>
      </c>
      <c r="C1818" s="2">
        <v>4</v>
      </c>
      <c r="D1818" s="11" t="str">
        <f t="shared" si="38"/>
        <v>UN</v>
      </c>
      <c r="E1818" s="12">
        <v>14.025</v>
      </c>
      <c r="F1818" s="13">
        <v>0</v>
      </c>
      <c r="G1818" s="14" t="s">
        <v>198</v>
      </c>
    </row>
    <row r="1819" spans="1:7" x14ac:dyDescent="0.25">
      <c r="A1819" s="34" t="str">
        <f>"PIEZA 7668 SERIE B Nº 37"</f>
        <v>PIEZA 7668 SERIE B Nº 37</v>
      </c>
      <c r="B1819" s="2">
        <v>21</v>
      </c>
      <c r="C1819" s="2">
        <v>2</v>
      </c>
      <c r="D1819" s="11" t="str">
        <f t="shared" si="38"/>
        <v>UN</v>
      </c>
      <c r="E1819" s="12">
        <v>65.587500000000006</v>
      </c>
      <c r="F1819" s="13">
        <v>0</v>
      </c>
      <c r="G1819" s="14" t="s">
        <v>198</v>
      </c>
    </row>
    <row r="1820" spans="1:7" x14ac:dyDescent="0.25">
      <c r="A1820" s="34" t="str">
        <f>"PIEZA 7668 SERIE B Nº 38"</f>
        <v>PIEZA 7668 SERIE B Nº 38</v>
      </c>
      <c r="B1820" s="2">
        <v>21</v>
      </c>
      <c r="C1820" s="2">
        <v>3</v>
      </c>
      <c r="D1820" s="11" t="str">
        <f t="shared" si="38"/>
        <v>UN</v>
      </c>
      <c r="E1820" s="12">
        <v>8.0437499999999993</v>
      </c>
      <c r="F1820" s="13">
        <v>0</v>
      </c>
      <c r="G1820" s="14" t="s">
        <v>198</v>
      </c>
    </row>
    <row r="1821" spans="1:7" x14ac:dyDescent="0.25">
      <c r="A1821" s="34" t="str">
        <f>"PIEZA 7668 SERIE B Nº 41"</f>
        <v>PIEZA 7668 SERIE B Nº 41</v>
      </c>
      <c r="B1821" s="2">
        <v>21</v>
      </c>
      <c r="C1821" s="2">
        <v>12</v>
      </c>
      <c r="D1821" s="11" t="str">
        <f t="shared" si="38"/>
        <v>UN</v>
      </c>
      <c r="E1821" s="12">
        <v>18.975000000000001</v>
      </c>
      <c r="F1821" s="13">
        <v>0</v>
      </c>
      <c r="G1821" s="14" t="s">
        <v>198</v>
      </c>
    </row>
    <row r="1822" spans="1:7" x14ac:dyDescent="0.25">
      <c r="A1822" s="34" t="str">
        <f>"PIEZA 7668 SERIE B Nº 43"</f>
        <v>PIEZA 7668 SERIE B Nº 43</v>
      </c>
      <c r="B1822" s="2">
        <v>21</v>
      </c>
      <c r="C1822" s="2">
        <v>10</v>
      </c>
      <c r="D1822" s="11" t="str">
        <f t="shared" si="38"/>
        <v>UN</v>
      </c>
      <c r="E1822" s="12">
        <v>15.8125</v>
      </c>
      <c r="F1822" s="13">
        <v>0</v>
      </c>
      <c r="G1822" s="14" t="s">
        <v>198</v>
      </c>
    </row>
    <row r="1823" spans="1:7" x14ac:dyDescent="0.25">
      <c r="A1823" s="34" t="str">
        <f>"PIEZA 7668 SERIE B Nº 44"</f>
        <v>PIEZA 7668 SERIE B Nº 44</v>
      </c>
      <c r="B1823" s="2">
        <v>21</v>
      </c>
      <c r="C1823" s="2">
        <v>6</v>
      </c>
      <c r="D1823" s="11" t="str">
        <f t="shared" si="38"/>
        <v>UN</v>
      </c>
      <c r="E1823" s="12">
        <v>332.88750000000005</v>
      </c>
      <c r="F1823" s="13">
        <v>0</v>
      </c>
      <c r="G1823" s="14" t="s">
        <v>198</v>
      </c>
    </row>
    <row r="1824" spans="1:7" x14ac:dyDescent="0.25">
      <c r="A1824" s="34" t="str">
        <f>"PIEZA 7668 SERIE C Nº 01"</f>
        <v>PIEZA 7668 SERIE C Nº 01</v>
      </c>
      <c r="B1824" s="2">
        <v>21</v>
      </c>
      <c r="C1824" s="2">
        <v>5</v>
      </c>
      <c r="D1824" s="11" t="str">
        <f t="shared" si="38"/>
        <v>UN</v>
      </c>
      <c r="E1824" s="12">
        <v>63.593750000000007</v>
      </c>
      <c r="F1824" s="13">
        <v>0</v>
      </c>
      <c r="G1824" s="14" t="s">
        <v>198</v>
      </c>
    </row>
    <row r="1825" spans="1:7" x14ac:dyDescent="0.25">
      <c r="A1825" s="34" t="str">
        <f>"PIEZA 7668 SERIE C Nº 21"</f>
        <v>PIEZA 7668 SERIE C Nº 21</v>
      </c>
      <c r="B1825" s="2">
        <v>21</v>
      </c>
      <c r="C1825" s="2">
        <v>10</v>
      </c>
      <c r="D1825" s="11" t="str">
        <f t="shared" si="38"/>
        <v>UN</v>
      </c>
      <c r="E1825" s="12">
        <v>165.68750000000003</v>
      </c>
      <c r="F1825" s="13">
        <v>0</v>
      </c>
      <c r="G1825" s="14" t="s">
        <v>198</v>
      </c>
    </row>
    <row r="1826" spans="1:7" x14ac:dyDescent="0.25">
      <c r="A1826" s="34" t="str">
        <f>"PIEZA 7668 SERIE C Nº 26"</f>
        <v>PIEZA 7668 SERIE C Nº 26</v>
      </c>
      <c r="B1826" s="2">
        <v>21</v>
      </c>
      <c r="C1826" s="2">
        <v>44</v>
      </c>
      <c r="D1826" s="11" t="str">
        <f t="shared" si="38"/>
        <v>UN</v>
      </c>
      <c r="E1826" s="12">
        <v>64.13000000000001</v>
      </c>
      <c r="F1826" s="13">
        <v>0</v>
      </c>
      <c r="G1826" s="14" t="s">
        <v>198</v>
      </c>
    </row>
    <row r="1827" spans="1:7" x14ac:dyDescent="0.25">
      <c r="A1827" s="34" t="str">
        <f>"PIEZA 7668 SERIE C Nº 29"</f>
        <v>PIEZA 7668 SERIE C Nº 29</v>
      </c>
      <c r="B1827" s="2">
        <v>21</v>
      </c>
      <c r="C1827" s="2">
        <v>4</v>
      </c>
      <c r="D1827" s="11" t="str">
        <f t="shared" si="38"/>
        <v>UN</v>
      </c>
      <c r="E1827" s="12">
        <v>66.55</v>
      </c>
      <c r="F1827" s="13">
        <v>0</v>
      </c>
      <c r="G1827" s="14" t="s">
        <v>198</v>
      </c>
    </row>
    <row r="1828" spans="1:7" x14ac:dyDescent="0.25">
      <c r="A1828" s="34" t="str">
        <f>"PIEZA 7668 SERIE C Nº 30"</f>
        <v>PIEZA 7668 SERIE C Nº 30</v>
      </c>
      <c r="B1828" s="2">
        <v>21</v>
      </c>
      <c r="C1828" s="2">
        <v>1</v>
      </c>
      <c r="D1828" s="11" t="str">
        <f t="shared" si="38"/>
        <v>UN</v>
      </c>
      <c r="E1828" s="12">
        <v>1.4987500000000005</v>
      </c>
      <c r="F1828" s="13">
        <v>0</v>
      </c>
      <c r="G1828" s="14" t="s">
        <v>198</v>
      </c>
    </row>
    <row r="1829" spans="1:7" x14ac:dyDescent="0.25">
      <c r="A1829" s="34" t="str">
        <f>"PIEZA 7668 SERIE C Nº 31"</f>
        <v>PIEZA 7668 SERIE C Nº 31</v>
      </c>
      <c r="B1829" s="2">
        <v>21</v>
      </c>
      <c r="C1829" s="2">
        <v>2</v>
      </c>
      <c r="D1829" s="11" t="str">
        <f t="shared" si="38"/>
        <v>UN</v>
      </c>
      <c r="E1829" s="12">
        <v>41.112500000000004</v>
      </c>
      <c r="F1829" s="13">
        <v>0</v>
      </c>
      <c r="G1829" s="14" t="s">
        <v>198</v>
      </c>
    </row>
    <row r="1830" spans="1:7" x14ac:dyDescent="0.25">
      <c r="A1830" s="34" t="str">
        <f>"PIEZA 7668 SERIE D Nº 02"</f>
        <v>PIEZA 7668 SERIE D Nº 02</v>
      </c>
      <c r="B1830" s="2">
        <v>21</v>
      </c>
      <c r="C1830" s="2">
        <v>1</v>
      </c>
      <c r="D1830" s="11" t="str">
        <f t="shared" si="38"/>
        <v>UN</v>
      </c>
      <c r="E1830" s="12">
        <v>1.3062500000000001</v>
      </c>
      <c r="F1830" s="13">
        <v>0</v>
      </c>
      <c r="G1830" s="14" t="s">
        <v>198</v>
      </c>
    </row>
    <row r="1831" spans="1:7" x14ac:dyDescent="0.25">
      <c r="A1831" s="34" t="str">
        <f>"PIEZA 7668 SERIE D Nº 14"</f>
        <v>PIEZA 7668 SERIE D Nº 14</v>
      </c>
      <c r="B1831" s="2">
        <v>21</v>
      </c>
      <c r="C1831" s="2">
        <v>2</v>
      </c>
      <c r="D1831" s="11" t="str">
        <f t="shared" si="38"/>
        <v>UN</v>
      </c>
      <c r="E1831" s="12">
        <v>13.75</v>
      </c>
      <c r="F1831" s="13">
        <v>0</v>
      </c>
      <c r="G1831" s="14" t="s">
        <v>198</v>
      </c>
    </row>
    <row r="1832" spans="1:7" x14ac:dyDescent="0.25">
      <c r="A1832" s="34" t="str">
        <f>"PIEZA 7668 SERIE D Nº 15"</f>
        <v>PIEZA 7668 SERIE D Nº 15</v>
      </c>
      <c r="B1832" s="2">
        <v>21</v>
      </c>
      <c r="C1832" s="2">
        <v>5</v>
      </c>
      <c r="D1832" s="11" t="str">
        <f t="shared" si="38"/>
        <v>UN</v>
      </c>
      <c r="E1832" s="12">
        <v>144.37500000000003</v>
      </c>
      <c r="F1832" s="13">
        <v>0</v>
      </c>
      <c r="G1832" s="14" t="s">
        <v>198</v>
      </c>
    </row>
    <row r="1833" spans="1:7" x14ac:dyDescent="0.25">
      <c r="A1833" s="34" t="str">
        <f>"PIEZA 7668 SERIE D Nº 16"</f>
        <v>PIEZA 7668 SERIE D Nº 16</v>
      </c>
      <c r="B1833" s="2">
        <v>21</v>
      </c>
      <c r="C1833" s="2">
        <v>3</v>
      </c>
      <c r="D1833" s="11" t="str">
        <f t="shared" si="38"/>
        <v>UN</v>
      </c>
      <c r="E1833" s="12">
        <v>16.912499999999998</v>
      </c>
      <c r="F1833" s="13">
        <v>0</v>
      </c>
      <c r="G1833" s="14" t="s">
        <v>198</v>
      </c>
    </row>
    <row r="1834" spans="1:7" x14ac:dyDescent="0.25">
      <c r="A1834" s="34" t="str">
        <f>"PIEZA 7668 SERIE D Nº 17"</f>
        <v>PIEZA 7668 SERIE D Nº 17</v>
      </c>
      <c r="B1834" s="2">
        <v>21</v>
      </c>
      <c r="C1834" s="2">
        <v>6</v>
      </c>
      <c r="D1834" s="11" t="str">
        <f t="shared" si="38"/>
        <v>UN</v>
      </c>
      <c r="E1834" s="12">
        <v>28.875000000000007</v>
      </c>
      <c r="F1834" s="13">
        <v>0</v>
      </c>
      <c r="G1834" s="14" t="s">
        <v>198</v>
      </c>
    </row>
    <row r="1835" spans="1:7" x14ac:dyDescent="0.25">
      <c r="A1835" s="34" t="str">
        <f>"PIEZA 7668 SERIE D Nº 18"</f>
        <v>PIEZA 7668 SERIE D Nº 18</v>
      </c>
      <c r="B1835" s="2">
        <v>21</v>
      </c>
      <c r="C1835" s="2">
        <v>3</v>
      </c>
      <c r="D1835" s="11" t="str">
        <f t="shared" si="38"/>
        <v>UN</v>
      </c>
      <c r="E1835" s="12">
        <v>109.02374999999998</v>
      </c>
      <c r="F1835" s="13">
        <v>0</v>
      </c>
      <c r="G1835" s="14" t="s">
        <v>198</v>
      </c>
    </row>
    <row r="1836" spans="1:7" x14ac:dyDescent="0.25">
      <c r="A1836" s="34" t="str">
        <f>"PIEZA 7668 SERIE D Nº 22"</f>
        <v>PIEZA 7668 SERIE D Nº 22</v>
      </c>
      <c r="B1836" s="2">
        <v>21</v>
      </c>
      <c r="C1836" s="2">
        <v>1</v>
      </c>
      <c r="D1836" s="11" t="str">
        <f t="shared" si="38"/>
        <v>UN</v>
      </c>
      <c r="E1836" s="12">
        <v>14.918749999999999</v>
      </c>
      <c r="F1836" s="13">
        <v>0</v>
      </c>
      <c r="G1836" s="14" t="s">
        <v>198</v>
      </c>
    </row>
    <row r="1837" spans="1:7" x14ac:dyDescent="0.25">
      <c r="A1837" s="34" t="str">
        <f>"PIEZA 7668 SERIE D Nº 25"</f>
        <v>PIEZA 7668 SERIE D Nº 25</v>
      </c>
      <c r="B1837" s="2">
        <v>21</v>
      </c>
      <c r="C1837" s="2">
        <v>13</v>
      </c>
      <c r="D1837" s="11" t="str">
        <f t="shared" si="38"/>
        <v>UN</v>
      </c>
      <c r="E1837" s="12">
        <v>257.40000000000009</v>
      </c>
      <c r="F1837" s="13">
        <v>0</v>
      </c>
      <c r="G1837" s="14" t="s">
        <v>198</v>
      </c>
    </row>
    <row r="1838" spans="1:7" x14ac:dyDescent="0.25">
      <c r="A1838" s="34" t="str">
        <f>"PIEZA 7668 SERIE D Nº 27"</f>
        <v>PIEZA 7668 SERIE D Nº 27</v>
      </c>
      <c r="B1838" s="2">
        <v>21</v>
      </c>
      <c r="C1838" s="2">
        <v>4</v>
      </c>
      <c r="D1838" s="11" t="str">
        <f t="shared" si="38"/>
        <v>UN</v>
      </c>
      <c r="E1838" s="12">
        <v>29.700000000000006</v>
      </c>
      <c r="F1838" s="13">
        <v>0</v>
      </c>
      <c r="G1838" s="14" t="s">
        <v>198</v>
      </c>
    </row>
    <row r="1839" spans="1:7" x14ac:dyDescent="0.25">
      <c r="A1839" s="34" t="str">
        <f>"PIEZA 7668 SERIE D Nº 50"</f>
        <v>PIEZA 7668 SERIE D Nº 50</v>
      </c>
      <c r="B1839" s="2">
        <v>21</v>
      </c>
      <c r="C1839" s="2">
        <v>1</v>
      </c>
      <c r="D1839" s="11" t="str">
        <f t="shared" si="38"/>
        <v>UN</v>
      </c>
      <c r="E1839" s="12">
        <v>1.16875</v>
      </c>
      <c r="F1839" s="13">
        <v>0</v>
      </c>
      <c r="G1839" s="14" t="s">
        <v>198</v>
      </c>
    </row>
    <row r="1840" spans="1:7" x14ac:dyDescent="0.25">
      <c r="A1840" s="34" t="str">
        <f>"PIEZA 7670 SERIE A Nº 39 19.50.02"</f>
        <v>PIEZA 7670 SERIE A Nº 39 19.50.02</v>
      </c>
      <c r="B1840" s="2">
        <v>21</v>
      </c>
      <c r="C1840" s="2">
        <v>8</v>
      </c>
      <c r="D1840" s="11" t="str">
        <f t="shared" si="38"/>
        <v>UN</v>
      </c>
      <c r="E1840" s="12">
        <v>389.07000000000005</v>
      </c>
      <c r="F1840" s="13">
        <v>0</v>
      </c>
      <c r="G1840" s="14" t="s">
        <v>198</v>
      </c>
    </row>
    <row r="1841" spans="1:7" x14ac:dyDescent="0.25">
      <c r="A1841" s="34" t="str">
        <f>"PIEZA 7670 SERIE A Nº 42 32.01.13"</f>
        <v>PIEZA 7670 SERIE A Nº 42 32.01.13</v>
      </c>
      <c r="B1841" s="2">
        <v>21</v>
      </c>
      <c r="C1841" s="2">
        <v>6</v>
      </c>
      <c r="D1841" s="11" t="str">
        <f t="shared" si="38"/>
        <v>UN</v>
      </c>
      <c r="E1841" s="12">
        <v>61.875000000000007</v>
      </c>
      <c r="F1841" s="13">
        <v>0</v>
      </c>
      <c r="G1841" s="14" t="s">
        <v>198</v>
      </c>
    </row>
    <row r="1842" spans="1:7" x14ac:dyDescent="0.25">
      <c r="A1842" s="34" t="str">
        <f>"PIEZA 7670 SERIE C Nº 22"</f>
        <v>PIEZA 7670 SERIE C Nº 22</v>
      </c>
      <c r="B1842" s="2">
        <v>21</v>
      </c>
      <c r="C1842" s="2">
        <v>15</v>
      </c>
      <c r="D1842" s="11" t="str">
        <f t="shared" si="38"/>
        <v>UN</v>
      </c>
      <c r="E1842" s="12">
        <v>331.03125</v>
      </c>
      <c r="F1842" s="13">
        <v>0</v>
      </c>
      <c r="G1842" s="14" t="s">
        <v>198</v>
      </c>
    </row>
    <row r="1843" spans="1:7" x14ac:dyDescent="0.25">
      <c r="A1843" s="34" t="str">
        <f>"PIEZA 7670 SERIE C Nº 27"</f>
        <v>PIEZA 7670 SERIE C Nº 27</v>
      </c>
      <c r="B1843" s="2">
        <v>21</v>
      </c>
      <c r="C1843" s="2">
        <v>1</v>
      </c>
      <c r="D1843" s="11" t="str">
        <f t="shared" si="38"/>
        <v>UN</v>
      </c>
      <c r="E1843" s="12">
        <v>1.1824999999999999</v>
      </c>
      <c r="F1843" s="13">
        <v>0</v>
      </c>
      <c r="G1843" s="14" t="s">
        <v>198</v>
      </c>
    </row>
    <row r="1844" spans="1:7" x14ac:dyDescent="0.25">
      <c r="A1844" s="34" t="str">
        <f>"PIEZA 7670 SERIE C Nº 33"</f>
        <v>PIEZA 7670 SERIE C Nº 33</v>
      </c>
      <c r="B1844" s="2">
        <v>21</v>
      </c>
      <c r="C1844" s="2">
        <v>30</v>
      </c>
      <c r="D1844" s="11" t="str">
        <f t="shared" si="38"/>
        <v>UN</v>
      </c>
      <c r="E1844" s="12">
        <v>23.512499999999999</v>
      </c>
      <c r="F1844" s="13">
        <v>0</v>
      </c>
      <c r="G1844" s="14" t="s">
        <v>198</v>
      </c>
    </row>
    <row r="1845" spans="1:7" x14ac:dyDescent="0.25">
      <c r="A1845" s="34" t="str">
        <f>"PIEZA 7670 SERIE C Nº 34"</f>
        <v>PIEZA 7670 SERIE C Nº 34</v>
      </c>
      <c r="B1845" s="2">
        <v>21</v>
      </c>
      <c r="C1845" s="2">
        <v>14</v>
      </c>
      <c r="D1845" s="11" t="str">
        <f t="shared" si="38"/>
        <v>UN</v>
      </c>
      <c r="E1845" s="12">
        <v>10.972499999999998</v>
      </c>
      <c r="F1845" s="13">
        <v>0</v>
      </c>
      <c r="G1845" s="14" t="s">
        <v>198</v>
      </c>
    </row>
    <row r="1846" spans="1:7" x14ac:dyDescent="0.25">
      <c r="A1846" s="34" t="str">
        <f>"PIEZA 7670 SERIE C Nº 40"</f>
        <v>PIEZA 7670 SERIE C Nº 40</v>
      </c>
      <c r="B1846" s="2">
        <v>21</v>
      </c>
      <c r="C1846" s="2">
        <v>7</v>
      </c>
      <c r="D1846" s="11" t="str">
        <f t="shared" si="38"/>
        <v>UN</v>
      </c>
      <c r="E1846" s="12">
        <v>177.38875000000004</v>
      </c>
      <c r="F1846" s="13">
        <v>0</v>
      </c>
      <c r="G1846" s="14" t="s">
        <v>198</v>
      </c>
    </row>
    <row r="1847" spans="1:7" x14ac:dyDescent="0.25">
      <c r="A1847" s="34" t="str">
        <f>"PIEZA 7670 SERIE D Nº 15"</f>
        <v>PIEZA 7670 SERIE D Nº 15</v>
      </c>
      <c r="B1847" s="2">
        <v>21</v>
      </c>
      <c r="C1847" s="2">
        <v>1</v>
      </c>
      <c r="D1847" s="11" t="str">
        <f t="shared" si="38"/>
        <v>UN</v>
      </c>
      <c r="E1847" s="12">
        <v>50.05</v>
      </c>
      <c r="F1847" s="13">
        <v>0</v>
      </c>
      <c r="G1847" s="14" t="s">
        <v>198</v>
      </c>
    </row>
    <row r="1848" spans="1:7" x14ac:dyDescent="0.25">
      <c r="A1848" s="34" t="str">
        <f>"PIEZA 7670 SERIE D Nº 16"</f>
        <v>PIEZA 7670 SERIE D Nº 16</v>
      </c>
      <c r="B1848" s="2">
        <v>21</v>
      </c>
      <c r="C1848" s="2">
        <v>4</v>
      </c>
      <c r="D1848" s="11" t="str">
        <f t="shared" si="38"/>
        <v>UN</v>
      </c>
      <c r="E1848" s="12">
        <v>17.600000000000005</v>
      </c>
      <c r="F1848" s="13">
        <v>0</v>
      </c>
      <c r="G1848" s="14" t="s">
        <v>198</v>
      </c>
    </row>
    <row r="1849" spans="1:7" x14ac:dyDescent="0.25">
      <c r="A1849" s="34" t="str">
        <f>"PIEZA 7670 SERIE D Nº 18"</f>
        <v>PIEZA 7670 SERIE D Nº 18</v>
      </c>
      <c r="B1849" s="2">
        <v>21</v>
      </c>
      <c r="C1849" s="2">
        <v>1</v>
      </c>
      <c r="D1849" s="11" t="str">
        <f t="shared" si="38"/>
        <v>UN</v>
      </c>
      <c r="E1849" s="12">
        <v>1.65</v>
      </c>
      <c r="F1849" s="13">
        <v>0</v>
      </c>
      <c r="G1849" s="14" t="s">
        <v>198</v>
      </c>
    </row>
    <row r="1850" spans="1:7" x14ac:dyDescent="0.25">
      <c r="A1850" s="34" t="str">
        <f>"PIEZA 7670 SERIE D Nº 24"</f>
        <v>PIEZA 7670 SERIE D Nº 24</v>
      </c>
      <c r="B1850" s="2">
        <v>21</v>
      </c>
      <c r="C1850" s="2">
        <v>1</v>
      </c>
      <c r="D1850" s="11" t="str">
        <f t="shared" si="38"/>
        <v>UN</v>
      </c>
      <c r="E1850" s="12">
        <v>1.1000000000000001</v>
      </c>
      <c r="F1850" s="13">
        <v>0</v>
      </c>
      <c r="G1850" s="14" t="s">
        <v>198</v>
      </c>
    </row>
    <row r="1851" spans="1:7" x14ac:dyDescent="0.25">
      <c r="A1851" s="34" t="str">
        <f>"PIEZA 7676 SERIE A Nº 18"</f>
        <v>PIEZA 7676 SERIE A Nº 18</v>
      </c>
      <c r="B1851" s="2">
        <v>21</v>
      </c>
      <c r="C1851" s="2">
        <v>6</v>
      </c>
      <c r="D1851" s="11" t="str">
        <f t="shared" si="38"/>
        <v>UN</v>
      </c>
      <c r="E1851" s="12">
        <v>18.975000000000001</v>
      </c>
      <c r="F1851" s="13">
        <v>0</v>
      </c>
      <c r="G1851" s="14" t="s">
        <v>198</v>
      </c>
    </row>
    <row r="1852" spans="1:7" x14ac:dyDescent="0.25">
      <c r="A1852" s="34" t="str">
        <f>"PIEZA 7676 SERIE A Nº 19-1"</f>
        <v>PIEZA 7676 SERIE A Nº 19-1</v>
      </c>
      <c r="B1852" s="2">
        <v>21</v>
      </c>
      <c r="C1852" s="2">
        <v>3</v>
      </c>
      <c r="D1852" s="11" t="str">
        <f t="shared" si="38"/>
        <v>UN</v>
      </c>
      <c r="E1852" s="12">
        <v>27.224999999999994</v>
      </c>
      <c r="F1852" s="13">
        <v>0</v>
      </c>
      <c r="G1852" s="14" t="s">
        <v>198</v>
      </c>
    </row>
    <row r="1853" spans="1:7" x14ac:dyDescent="0.25">
      <c r="A1853" s="34" t="str">
        <f>"PIEZA 7676 SERIE A Nº 19-2"</f>
        <v>PIEZA 7676 SERIE A Nº 19-2</v>
      </c>
      <c r="B1853" s="2">
        <v>21</v>
      </c>
      <c r="C1853" s="2">
        <v>4</v>
      </c>
      <c r="D1853" s="11" t="str">
        <f t="shared" si="38"/>
        <v>UN</v>
      </c>
      <c r="E1853" s="12">
        <v>9.3500000000000014</v>
      </c>
      <c r="F1853" s="13">
        <v>0</v>
      </c>
      <c r="G1853" s="14" t="s">
        <v>198</v>
      </c>
    </row>
    <row r="1854" spans="1:7" x14ac:dyDescent="0.25">
      <c r="A1854" s="34" t="str">
        <f>"PIEZA 7676 SERIE A Nº 19-3"</f>
        <v>PIEZA 7676 SERIE A Nº 19-3</v>
      </c>
      <c r="B1854" s="2">
        <v>21</v>
      </c>
      <c r="C1854" s="2">
        <v>6</v>
      </c>
      <c r="D1854" s="11" t="str">
        <f t="shared" si="38"/>
        <v>UN</v>
      </c>
      <c r="E1854" s="12">
        <v>8.6624999999999996</v>
      </c>
      <c r="F1854" s="13">
        <v>0</v>
      </c>
      <c r="G1854" s="14" t="s">
        <v>198</v>
      </c>
    </row>
    <row r="1855" spans="1:7" x14ac:dyDescent="0.25">
      <c r="A1855" s="34" t="str">
        <f>"PIEZA 7676 SERIE A Nº 30"</f>
        <v>PIEZA 7676 SERIE A Nº 30</v>
      </c>
      <c r="B1855" s="2">
        <v>21</v>
      </c>
      <c r="C1855" s="2">
        <v>14</v>
      </c>
      <c r="D1855" s="11" t="str">
        <f t="shared" si="38"/>
        <v>UN</v>
      </c>
      <c r="E1855" s="12">
        <v>644.87500000000023</v>
      </c>
      <c r="F1855" s="13">
        <v>0</v>
      </c>
      <c r="G1855" s="14" t="s">
        <v>198</v>
      </c>
    </row>
    <row r="1856" spans="1:7" x14ac:dyDescent="0.25">
      <c r="A1856" s="34" t="str">
        <f>"PIEZA 7676 SERIE A Nº 34"</f>
        <v>PIEZA 7676 SERIE A Nº 34</v>
      </c>
      <c r="B1856" s="2">
        <v>21</v>
      </c>
      <c r="C1856" s="2">
        <v>3</v>
      </c>
      <c r="D1856" s="11" t="str">
        <f t="shared" si="38"/>
        <v>UN</v>
      </c>
      <c r="E1856" s="12">
        <v>34.856249999999996</v>
      </c>
      <c r="F1856" s="13">
        <v>0</v>
      </c>
      <c r="G1856" s="14" t="s">
        <v>198</v>
      </c>
    </row>
    <row r="1857" spans="1:7" x14ac:dyDescent="0.25">
      <c r="A1857" s="34" t="str">
        <f>"PIEZA 7705 SERIE A Nº 46"</f>
        <v>PIEZA 7705 SERIE A Nº 46</v>
      </c>
      <c r="B1857" s="2">
        <v>21</v>
      </c>
      <c r="C1857" s="2">
        <v>4</v>
      </c>
      <c r="D1857" s="11" t="str">
        <f t="shared" si="38"/>
        <v>UN</v>
      </c>
      <c r="E1857" s="12">
        <v>84.15</v>
      </c>
      <c r="F1857" s="13">
        <v>0</v>
      </c>
      <c r="G1857" s="14" t="s">
        <v>198</v>
      </c>
    </row>
    <row r="1858" spans="1:7" x14ac:dyDescent="0.25">
      <c r="A1858" s="34" t="str">
        <f>"PIEZA 7730 SERIE A Nº 12"</f>
        <v>PIEZA 7730 SERIE A Nº 12</v>
      </c>
      <c r="B1858" s="2">
        <v>21</v>
      </c>
      <c r="C1858" s="2">
        <v>1</v>
      </c>
      <c r="D1858" s="11" t="str">
        <f t="shared" si="38"/>
        <v>UN</v>
      </c>
      <c r="E1858" s="12">
        <v>20.033750000000001</v>
      </c>
      <c r="F1858" s="13">
        <v>0</v>
      </c>
      <c r="G1858" s="14" t="s">
        <v>198</v>
      </c>
    </row>
    <row r="1859" spans="1:7" x14ac:dyDescent="0.25">
      <c r="A1859" s="34" t="str">
        <f>"PIEZA 7730 SERIE A Nº 36"</f>
        <v>PIEZA 7730 SERIE A Nº 36</v>
      </c>
      <c r="B1859" s="2">
        <v>21</v>
      </c>
      <c r="C1859" s="2">
        <v>3</v>
      </c>
      <c r="D1859" s="11" t="str">
        <f t="shared" si="38"/>
        <v>UN</v>
      </c>
      <c r="E1859" s="12">
        <v>0</v>
      </c>
      <c r="F1859" s="13">
        <v>0</v>
      </c>
      <c r="G1859" s="14" t="s">
        <v>198</v>
      </c>
    </row>
    <row r="1860" spans="1:7" x14ac:dyDescent="0.25">
      <c r="A1860" s="34" t="str">
        <f>"PIEZA 7730 SERIE A Nº 39"</f>
        <v>PIEZA 7730 SERIE A Nº 39</v>
      </c>
      <c r="B1860" s="2">
        <v>21</v>
      </c>
      <c r="C1860" s="2">
        <v>22</v>
      </c>
      <c r="D1860" s="11" t="str">
        <f t="shared" si="38"/>
        <v>UN</v>
      </c>
      <c r="E1860" s="12">
        <v>222.64000000000001</v>
      </c>
      <c r="F1860" s="13">
        <v>0</v>
      </c>
      <c r="G1860" s="14" t="s">
        <v>198</v>
      </c>
    </row>
    <row r="1861" spans="1:7" x14ac:dyDescent="0.25">
      <c r="A1861" s="34" t="str">
        <f>"PIEZA 7730 SERIE A Nº 44"</f>
        <v>PIEZA 7730 SERIE A Nº 44</v>
      </c>
      <c r="B1861" s="2">
        <v>21</v>
      </c>
      <c r="C1861" s="2">
        <v>13</v>
      </c>
      <c r="D1861" s="11" t="str">
        <f t="shared" si="38"/>
        <v>UN</v>
      </c>
      <c r="E1861" s="12">
        <v>33.247500000000002</v>
      </c>
      <c r="F1861" s="13">
        <v>0</v>
      </c>
      <c r="G1861" s="14" t="s">
        <v>198</v>
      </c>
    </row>
    <row r="1862" spans="1:7" x14ac:dyDescent="0.25">
      <c r="A1862" s="34" t="str">
        <f>"PIEZA 7730 SERIE A Nº 45"</f>
        <v>PIEZA 7730 SERIE A Nº 45</v>
      </c>
      <c r="B1862" s="2">
        <v>21</v>
      </c>
      <c r="C1862" s="2">
        <v>12</v>
      </c>
      <c r="D1862" s="11" t="str">
        <f t="shared" si="38"/>
        <v>UN</v>
      </c>
      <c r="E1862" s="12">
        <v>30.689999999999998</v>
      </c>
      <c r="F1862" s="13">
        <v>0</v>
      </c>
      <c r="G1862" s="14" t="s">
        <v>198</v>
      </c>
    </row>
    <row r="1863" spans="1:7" x14ac:dyDescent="0.25">
      <c r="A1863" s="34" t="str">
        <f>"PIEZA 7730 SERIE A Nº 46"</f>
        <v>PIEZA 7730 SERIE A Nº 46</v>
      </c>
      <c r="B1863" s="2">
        <v>21</v>
      </c>
      <c r="C1863" s="2">
        <v>9</v>
      </c>
      <c r="D1863" s="11" t="str">
        <f t="shared" si="38"/>
        <v>UN</v>
      </c>
      <c r="E1863" s="12">
        <v>17.696249999999999</v>
      </c>
      <c r="F1863" s="13">
        <v>0</v>
      </c>
      <c r="G1863" s="14" t="s">
        <v>198</v>
      </c>
    </row>
    <row r="1864" spans="1:7" x14ac:dyDescent="0.25">
      <c r="A1864" s="34" t="str">
        <f>"PIEZA 7730 SERIE A Nº 47"</f>
        <v>PIEZA 7730 SERIE A Nº 47</v>
      </c>
      <c r="B1864" s="2">
        <v>21</v>
      </c>
      <c r="C1864" s="2">
        <v>3</v>
      </c>
      <c r="D1864" s="11" t="str">
        <f t="shared" si="38"/>
        <v>UN</v>
      </c>
      <c r="E1864" s="12">
        <v>8.8275000000000006</v>
      </c>
      <c r="F1864" s="13">
        <v>0</v>
      </c>
      <c r="G1864" s="14" t="s">
        <v>198</v>
      </c>
    </row>
    <row r="1865" spans="1:7" x14ac:dyDescent="0.25">
      <c r="A1865" s="34" t="str">
        <f>"PIEZA 7730 SERIE A Nº 48"</f>
        <v>PIEZA 7730 SERIE A Nº 48</v>
      </c>
      <c r="B1865" s="2">
        <v>21</v>
      </c>
      <c r="C1865" s="2">
        <v>1</v>
      </c>
      <c r="D1865" s="11" t="str">
        <f t="shared" si="38"/>
        <v>UN</v>
      </c>
      <c r="E1865" s="12">
        <v>46.351250000000014</v>
      </c>
      <c r="F1865" s="13">
        <v>0</v>
      </c>
      <c r="G1865" s="14" t="s">
        <v>198</v>
      </c>
    </row>
    <row r="1866" spans="1:7" x14ac:dyDescent="0.25">
      <c r="A1866" s="34" t="str">
        <f>"PIEZA 7730 SERIE A Nº 50-A"</f>
        <v>PIEZA 7730 SERIE A Nº 50-A</v>
      </c>
      <c r="B1866" s="2">
        <v>21</v>
      </c>
      <c r="C1866" s="2">
        <v>3</v>
      </c>
      <c r="D1866" s="11" t="str">
        <f t="shared" ref="D1866:D1929" si="39">"UN"</f>
        <v>UN</v>
      </c>
      <c r="E1866" s="12">
        <v>80.148750000000007</v>
      </c>
      <c r="F1866" s="13">
        <v>0</v>
      </c>
      <c r="G1866" s="14" t="s">
        <v>198</v>
      </c>
    </row>
    <row r="1867" spans="1:7" x14ac:dyDescent="0.25">
      <c r="A1867" s="34" t="str">
        <f>"PIEZA 7730 SERIE A Nº 51"</f>
        <v>PIEZA 7730 SERIE A Nº 51</v>
      </c>
      <c r="B1867" s="2">
        <v>21</v>
      </c>
      <c r="C1867" s="2">
        <v>4</v>
      </c>
      <c r="D1867" s="11" t="str">
        <f t="shared" si="39"/>
        <v>UN</v>
      </c>
      <c r="E1867" s="12">
        <v>9.35</v>
      </c>
      <c r="F1867" s="13">
        <v>0</v>
      </c>
      <c r="G1867" s="14" t="s">
        <v>198</v>
      </c>
    </row>
    <row r="1868" spans="1:7" x14ac:dyDescent="0.25">
      <c r="A1868" s="34" t="str">
        <f>"PIEZA 7750 SERIE A Nº 41"</f>
        <v>PIEZA 7750 SERIE A Nº 41</v>
      </c>
      <c r="B1868" s="2">
        <v>21</v>
      </c>
      <c r="C1868" s="2">
        <v>1</v>
      </c>
      <c r="D1868" s="11" t="str">
        <f t="shared" si="39"/>
        <v>UN</v>
      </c>
      <c r="E1868" s="12">
        <v>13.007500000000002</v>
      </c>
      <c r="F1868" s="13">
        <v>0</v>
      </c>
      <c r="G1868" s="14" t="s">
        <v>198</v>
      </c>
    </row>
    <row r="1869" spans="1:7" x14ac:dyDescent="0.25">
      <c r="A1869" s="34" t="str">
        <f>"PIEZA 7750 SERIE A Nº 55"</f>
        <v>PIEZA 7750 SERIE A Nº 55</v>
      </c>
      <c r="B1869" s="2">
        <v>21</v>
      </c>
      <c r="C1869" s="2">
        <v>3</v>
      </c>
      <c r="D1869" s="11" t="str">
        <f t="shared" si="39"/>
        <v>UN</v>
      </c>
      <c r="E1869" s="12">
        <v>34.196249999999999</v>
      </c>
      <c r="F1869" s="13">
        <v>0</v>
      </c>
      <c r="G1869" s="14" t="s">
        <v>198</v>
      </c>
    </row>
    <row r="1870" spans="1:7" x14ac:dyDescent="0.25">
      <c r="A1870" s="34" t="str">
        <f>"PIEZA 7810 SERIE A Nº 41"</f>
        <v>PIEZA 7810 SERIE A Nº 41</v>
      </c>
      <c r="B1870" s="2">
        <v>21</v>
      </c>
      <c r="C1870" s="2">
        <v>2</v>
      </c>
      <c r="D1870" s="11" t="str">
        <f t="shared" si="39"/>
        <v>UN</v>
      </c>
      <c r="E1870" s="12">
        <v>30.8</v>
      </c>
      <c r="F1870" s="13">
        <v>0</v>
      </c>
      <c r="G1870" s="14" t="s">
        <v>198</v>
      </c>
    </row>
    <row r="1871" spans="1:7" x14ac:dyDescent="0.25">
      <c r="A1871" s="34" t="str">
        <f>"PIEZA 8000 SERIE A Nº 05"</f>
        <v>PIEZA 8000 SERIE A Nº 05</v>
      </c>
      <c r="B1871" s="2">
        <v>21</v>
      </c>
      <c r="C1871" s="2">
        <v>6</v>
      </c>
      <c r="D1871" s="11" t="str">
        <f t="shared" si="39"/>
        <v>UN</v>
      </c>
      <c r="E1871" s="12">
        <v>12.952499999999999</v>
      </c>
      <c r="F1871" s="13">
        <v>0</v>
      </c>
      <c r="G1871" s="14" t="s">
        <v>198</v>
      </c>
    </row>
    <row r="1872" spans="1:7" x14ac:dyDescent="0.25">
      <c r="A1872" s="34" t="str">
        <f>"PIEZA 8000 SERIE A Nº 10"</f>
        <v>PIEZA 8000 SERIE A Nº 10</v>
      </c>
      <c r="B1872" s="2">
        <v>21</v>
      </c>
      <c r="C1872" s="2">
        <v>13</v>
      </c>
      <c r="D1872" s="11" t="str">
        <f t="shared" si="39"/>
        <v>UN</v>
      </c>
      <c r="E1872" s="12">
        <v>37.537500000000009</v>
      </c>
      <c r="F1872" s="13">
        <v>0</v>
      </c>
      <c r="G1872" s="14" t="s">
        <v>198</v>
      </c>
    </row>
    <row r="1873" spans="1:7" x14ac:dyDescent="0.25">
      <c r="A1873" s="34" t="str">
        <f>"PIEZA 8000 SERIE B Nº 04"</f>
        <v>PIEZA 8000 SERIE B Nº 04</v>
      </c>
      <c r="B1873" s="2">
        <v>21</v>
      </c>
      <c r="C1873" s="2">
        <v>4</v>
      </c>
      <c r="D1873" s="11" t="str">
        <f t="shared" si="39"/>
        <v>UN</v>
      </c>
      <c r="E1873" s="12">
        <v>9.0749999999999993</v>
      </c>
      <c r="F1873" s="13">
        <v>0</v>
      </c>
      <c r="G1873" s="14" t="s">
        <v>198</v>
      </c>
    </row>
    <row r="1874" spans="1:7" x14ac:dyDescent="0.25">
      <c r="A1874" s="34" t="str">
        <f>"PIEZA 8000 SERIE B Nº 08"</f>
        <v>PIEZA 8000 SERIE B Nº 08</v>
      </c>
      <c r="B1874" s="2">
        <v>21</v>
      </c>
      <c r="C1874" s="2">
        <v>2</v>
      </c>
      <c r="D1874" s="11" t="str">
        <f t="shared" si="39"/>
        <v>UN</v>
      </c>
      <c r="E1874" s="12">
        <v>8.5250000000000004</v>
      </c>
      <c r="F1874" s="13">
        <v>0</v>
      </c>
      <c r="G1874" s="14" t="s">
        <v>198</v>
      </c>
    </row>
    <row r="1875" spans="1:7" x14ac:dyDescent="0.25">
      <c r="A1875" s="34" t="str">
        <f>"PIEZA 8000 SERIE B Nº 09"</f>
        <v>PIEZA 8000 SERIE B Nº 09</v>
      </c>
      <c r="B1875" s="2">
        <v>21</v>
      </c>
      <c r="C1875" s="2">
        <v>1</v>
      </c>
      <c r="D1875" s="11" t="str">
        <f t="shared" si="39"/>
        <v>UN</v>
      </c>
      <c r="E1875" s="12">
        <v>3.5750000000000006</v>
      </c>
      <c r="F1875" s="13">
        <v>0</v>
      </c>
      <c r="G1875" s="14" t="s">
        <v>198</v>
      </c>
    </row>
    <row r="1876" spans="1:7" x14ac:dyDescent="0.25">
      <c r="A1876" s="34" t="str">
        <f>"PIEZA 8000 SERIE B Nº 11"</f>
        <v>PIEZA 8000 SERIE B Nº 11</v>
      </c>
      <c r="B1876" s="2">
        <v>21</v>
      </c>
      <c r="C1876" s="2">
        <v>3</v>
      </c>
      <c r="D1876" s="11" t="str">
        <f t="shared" si="39"/>
        <v>UN</v>
      </c>
      <c r="E1876" s="12">
        <v>8.8275000000000006</v>
      </c>
      <c r="F1876" s="13">
        <v>0</v>
      </c>
      <c r="G1876" s="14" t="s">
        <v>198</v>
      </c>
    </row>
    <row r="1877" spans="1:7" x14ac:dyDescent="0.25">
      <c r="A1877" s="34" t="str">
        <f>"PIEZA 8000 SERIE B Nº 12"</f>
        <v>PIEZA 8000 SERIE B Nº 12</v>
      </c>
      <c r="B1877" s="2">
        <v>21</v>
      </c>
      <c r="C1877" s="2">
        <v>2</v>
      </c>
      <c r="D1877" s="11" t="str">
        <f t="shared" si="39"/>
        <v>UN</v>
      </c>
      <c r="E1877" s="12">
        <v>47.135000000000012</v>
      </c>
      <c r="F1877" s="13">
        <v>0</v>
      </c>
      <c r="G1877" s="14" t="s">
        <v>198</v>
      </c>
    </row>
    <row r="1878" spans="1:7" x14ac:dyDescent="0.25">
      <c r="A1878" s="34" t="str">
        <f>"PIEZA 8000 SERIE B Nº 14"</f>
        <v>PIEZA 8000 SERIE B Nº 14</v>
      </c>
      <c r="B1878" s="2">
        <v>21</v>
      </c>
      <c r="C1878" s="2">
        <v>2</v>
      </c>
      <c r="D1878" s="11" t="str">
        <f t="shared" si="39"/>
        <v>UN</v>
      </c>
      <c r="E1878" s="12">
        <v>2.6125000000000003</v>
      </c>
      <c r="F1878" s="13">
        <v>0</v>
      </c>
      <c r="G1878" s="14" t="s">
        <v>198</v>
      </c>
    </row>
    <row r="1879" spans="1:7" x14ac:dyDescent="0.25">
      <c r="A1879" s="34" t="str">
        <f>"PIEZA 8000 SERIE C Nº 02"</f>
        <v>PIEZA 8000 SERIE C Nº 02</v>
      </c>
      <c r="B1879" s="2">
        <v>21</v>
      </c>
      <c r="C1879" s="2">
        <v>1</v>
      </c>
      <c r="D1879" s="11" t="str">
        <f t="shared" si="39"/>
        <v>UN</v>
      </c>
      <c r="E1879" s="12">
        <v>1.9662500000000003</v>
      </c>
      <c r="F1879" s="13">
        <v>0</v>
      </c>
      <c r="G1879" s="14" t="s">
        <v>198</v>
      </c>
    </row>
    <row r="1880" spans="1:7" x14ac:dyDescent="0.25">
      <c r="A1880" s="34" t="str">
        <f>"PIEZA 8101 SERIE A Nº 09"</f>
        <v>PIEZA 8101 SERIE A Nº 09</v>
      </c>
      <c r="B1880" s="2">
        <v>21</v>
      </c>
      <c r="C1880" s="2">
        <v>1</v>
      </c>
      <c r="D1880" s="11" t="str">
        <f t="shared" si="39"/>
        <v>UN</v>
      </c>
      <c r="E1880" s="12">
        <v>17.531250000000004</v>
      </c>
      <c r="F1880" s="13">
        <v>0</v>
      </c>
      <c r="G1880" s="14" t="s">
        <v>198</v>
      </c>
    </row>
    <row r="1881" spans="1:7" x14ac:dyDescent="0.25">
      <c r="A1881" s="34" t="str">
        <f>"PIEZA 8102 SERIE D Nº 06"</f>
        <v>PIEZA 8102 SERIE D Nº 06</v>
      </c>
      <c r="B1881" s="2">
        <v>21</v>
      </c>
      <c r="C1881" s="2">
        <v>3</v>
      </c>
      <c r="D1881" s="11" t="str">
        <f t="shared" si="39"/>
        <v>UN</v>
      </c>
      <c r="E1881" s="12">
        <v>6.8062500000000004</v>
      </c>
      <c r="F1881" s="13">
        <v>0</v>
      </c>
      <c r="G1881" s="14" t="s">
        <v>198</v>
      </c>
    </row>
    <row r="1882" spans="1:7" x14ac:dyDescent="0.25">
      <c r="A1882" s="34" t="str">
        <f>"PIEZA 8103 SERIE B Nº 10"</f>
        <v>PIEZA 8103 SERIE B Nº 10</v>
      </c>
      <c r="B1882" s="2">
        <v>21</v>
      </c>
      <c r="C1882" s="2">
        <v>1</v>
      </c>
      <c r="D1882" s="11" t="str">
        <f t="shared" si="39"/>
        <v>UN</v>
      </c>
      <c r="E1882" s="12">
        <v>19.64875</v>
      </c>
      <c r="F1882" s="13">
        <v>0</v>
      </c>
      <c r="G1882" s="14" t="s">
        <v>198</v>
      </c>
    </row>
    <row r="1883" spans="1:7" x14ac:dyDescent="0.25">
      <c r="A1883" s="34" t="str">
        <f>"PIEZA 8107  SERIE A Nº 31"</f>
        <v>PIEZA 8107  SERIE A Nº 31</v>
      </c>
      <c r="B1883" s="2">
        <v>21</v>
      </c>
      <c r="C1883" s="2">
        <v>1</v>
      </c>
      <c r="D1883" s="11" t="str">
        <f t="shared" si="39"/>
        <v>UN</v>
      </c>
      <c r="E1883" s="12">
        <v>0</v>
      </c>
      <c r="F1883" s="13">
        <v>0</v>
      </c>
      <c r="G1883" s="14" t="s">
        <v>198</v>
      </c>
    </row>
    <row r="1884" spans="1:7" x14ac:dyDescent="0.25">
      <c r="A1884" s="34" t="str">
        <f>"PIEZA 8112 SERIE A Nº 07"</f>
        <v>PIEZA 8112 SERIE A Nº 07</v>
      </c>
      <c r="B1884" s="2">
        <v>21</v>
      </c>
      <c r="C1884" s="2">
        <v>2</v>
      </c>
      <c r="D1884" s="11" t="str">
        <f t="shared" si="39"/>
        <v>UN</v>
      </c>
      <c r="E1884" s="12">
        <v>13.337500000000002</v>
      </c>
      <c r="F1884" s="13">
        <v>0</v>
      </c>
      <c r="G1884" s="14" t="s">
        <v>198</v>
      </c>
    </row>
    <row r="1885" spans="1:7" x14ac:dyDescent="0.25">
      <c r="A1885" s="34" t="str">
        <f>"PIEZA 8112 SERIE A Nº 09"</f>
        <v>PIEZA 8112 SERIE A Nº 09</v>
      </c>
      <c r="B1885" s="2">
        <v>21</v>
      </c>
      <c r="C1885" s="2">
        <v>2</v>
      </c>
      <c r="D1885" s="11" t="str">
        <f t="shared" si="39"/>
        <v>UN</v>
      </c>
      <c r="E1885" s="12">
        <v>5.7750000000000004</v>
      </c>
      <c r="F1885" s="13">
        <v>0</v>
      </c>
      <c r="G1885" s="14" t="s">
        <v>198</v>
      </c>
    </row>
    <row r="1886" spans="1:7" x14ac:dyDescent="0.25">
      <c r="A1886" s="34" t="str">
        <f>"PIEZA 8112 SERIE A Nº 61"</f>
        <v>PIEZA 8112 SERIE A Nº 61</v>
      </c>
      <c r="B1886" s="2">
        <v>21</v>
      </c>
      <c r="C1886" s="2">
        <v>51</v>
      </c>
      <c r="D1886" s="11" t="str">
        <f t="shared" si="39"/>
        <v>UN</v>
      </c>
      <c r="E1886" s="12">
        <v>889.8862499999999</v>
      </c>
      <c r="F1886" s="13">
        <v>0</v>
      </c>
      <c r="G1886" s="14" t="s">
        <v>198</v>
      </c>
    </row>
    <row r="1887" spans="1:7" x14ac:dyDescent="0.25">
      <c r="A1887" s="34" t="str">
        <f>"PIEZA 8112 SERIE A Nº 63"</f>
        <v>PIEZA 8112 SERIE A Nº 63</v>
      </c>
      <c r="B1887" s="2">
        <v>21</v>
      </c>
      <c r="C1887" s="2">
        <v>1</v>
      </c>
      <c r="D1887" s="11" t="str">
        <f t="shared" si="39"/>
        <v>UN</v>
      </c>
      <c r="E1887" s="12">
        <v>1.7875000000000003</v>
      </c>
      <c r="F1887" s="13">
        <v>0</v>
      </c>
      <c r="G1887" s="14" t="s">
        <v>198</v>
      </c>
    </row>
    <row r="1888" spans="1:7" x14ac:dyDescent="0.25">
      <c r="A1888" s="34" t="str">
        <f>"PIEZA 8112 SERIE A Nº 64"</f>
        <v>PIEZA 8112 SERIE A Nº 64</v>
      </c>
      <c r="B1888" s="2">
        <v>21</v>
      </c>
      <c r="C1888" s="2">
        <v>29</v>
      </c>
      <c r="D1888" s="11" t="str">
        <f t="shared" si="39"/>
        <v>UN</v>
      </c>
      <c r="E1888" s="12">
        <v>384.79375000000016</v>
      </c>
      <c r="F1888" s="13">
        <v>0</v>
      </c>
      <c r="G1888" s="14" t="s">
        <v>198</v>
      </c>
    </row>
    <row r="1889" spans="1:7" x14ac:dyDescent="0.25">
      <c r="A1889" s="34" t="str">
        <f>"PIEZA 8113 SERIE A Nº 05"</f>
        <v>PIEZA 8113 SERIE A Nº 05</v>
      </c>
      <c r="B1889" s="2">
        <v>21</v>
      </c>
      <c r="C1889" s="2">
        <v>3</v>
      </c>
      <c r="D1889" s="11" t="str">
        <f t="shared" si="39"/>
        <v>UN</v>
      </c>
      <c r="E1889" s="12">
        <v>36.547500000000007</v>
      </c>
      <c r="F1889" s="13">
        <v>0</v>
      </c>
      <c r="G1889" s="14" t="s">
        <v>198</v>
      </c>
    </row>
    <row r="1890" spans="1:7" x14ac:dyDescent="0.25">
      <c r="A1890" s="34" t="str">
        <f>"PIEZA 8113 SERIE A Nº 06"</f>
        <v>PIEZA 8113 SERIE A Nº 06</v>
      </c>
      <c r="B1890" s="2">
        <v>21</v>
      </c>
      <c r="C1890" s="2">
        <v>1</v>
      </c>
      <c r="D1890" s="11" t="str">
        <f t="shared" si="39"/>
        <v>UN</v>
      </c>
      <c r="E1890" s="12">
        <v>0</v>
      </c>
      <c r="F1890" s="13">
        <v>0</v>
      </c>
      <c r="G1890" s="14" t="s">
        <v>198</v>
      </c>
    </row>
    <row r="1891" spans="1:7" x14ac:dyDescent="0.25">
      <c r="A1891" s="34" t="str">
        <f>"PIEZA 8113 SERIE A Nº 07"</f>
        <v>PIEZA 8113 SERIE A Nº 07</v>
      </c>
      <c r="B1891" s="2">
        <v>21</v>
      </c>
      <c r="C1891" s="2">
        <v>3</v>
      </c>
      <c r="D1891" s="11" t="str">
        <f t="shared" si="39"/>
        <v>UN</v>
      </c>
      <c r="E1891" s="12">
        <v>97.762499999999989</v>
      </c>
      <c r="F1891" s="13">
        <v>0</v>
      </c>
      <c r="G1891" s="14" t="s">
        <v>198</v>
      </c>
    </row>
    <row r="1892" spans="1:7" x14ac:dyDescent="0.25">
      <c r="A1892" s="34" t="str">
        <f>"PIEZA 8113 SERIE A Nº 08"</f>
        <v>PIEZA 8113 SERIE A Nº 08</v>
      </c>
      <c r="B1892" s="2">
        <v>21</v>
      </c>
      <c r="C1892" s="2">
        <v>2</v>
      </c>
      <c r="D1892" s="11" t="str">
        <f t="shared" si="39"/>
        <v>UN</v>
      </c>
      <c r="E1892" s="12">
        <v>20.047499999999999</v>
      </c>
      <c r="F1892" s="13">
        <v>0</v>
      </c>
      <c r="G1892" s="14" t="s">
        <v>198</v>
      </c>
    </row>
    <row r="1893" spans="1:7" x14ac:dyDescent="0.25">
      <c r="A1893" s="34" t="str">
        <f>"PIEZA 8113 SERIE A Nº 09"</f>
        <v>PIEZA 8113 SERIE A Nº 09</v>
      </c>
      <c r="B1893" s="2">
        <v>21</v>
      </c>
      <c r="C1893" s="2">
        <v>4</v>
      </c>
      <c r="D1893" s="11" t="str">
        <f t="shared" si="39"/>
        <v>UN</v>
      </c>
      <c r="E1893" s="12">
        <v>8.6350000000000016</v>
      </c>
      <c r="F1893" s="13">
        <v>0</v>
      </c>
      <c r="G1893" s="14" t="s">
        <v>198</v>
      </c>
    </row>
    <row r="1894" spans="1:7" x14ac:dyDescent="0.25">
      <c r="A1894" s="34" t="str">
        <f>"PIEZA 8113 SERIE A Nº 21"</f>
        <v>PIEZA 8113 SERIE A Nº 21</v>
      </c>
      <c r="B1894" s="2">
        <v>21</v>
      </c>
      <c r="C1894" s="2">
        <v>4</v>
      </c>
      <c r="D1894" s="11" t="str">
        <f t="shared" si="39"/>
        <v>UN</v>
      </c>
      <c r="E1894" s="12">
        <v>89.594999999999999</v>
      </c>
      <c r="F1894" s="13">
        <v>0</v>
      </c>
      <c r="G1894" s="14" t="s">
        <v>198</v>
      </c>
    </row>
    <row r="1895" spans="1:7" x14ac:dyDescent="0.25">
      <c r="A1895" s="34" t="str">
        <f>"PIEZA 8113 SERIE A Nº 23"</f>
        <v>PIEZA 8113 SERIE A Nº 23</v>
      </c>
      <c r="B1895" s="2">
        <v>21</v>
      </c>
      <c r="C1895" s="2">
        <v>3</v>
      </c>
      <c r="D1895" s="11" t="str">
        <f t="shared" si="39"/>
        <v>UN</v>
      </c>
      <c r="E1895" s="12">
        <v>86.625000000000014</v>
      </c>
      <c r="F1895" s="13">
        <v>0</v>
      </c>
      <c r="G1895" s="14" t="s">
        <v>198</v>
      </c>
    </row>
    <row r="1896" spans="1:7" x14ac:dyDescent="0.25">
      <c r="A1896" s="34" t="str">
        <f>"PIEZA 8113 SERIE A Nº 24"</f>
        <v>PIEZA 8113 SERIE A Nº 24</v>
      </c>
      <c r="B1896" s="2">
        <v>21</v>
      </c>
      <c r="C1896" s="2">
        <v>1</v>
      </c>
      <c r="D1896" s="11" t="str">
        <f t="shared" si="39"/>
        <v>UN</v>
      </c>
      <c r="E1896" s="12">
        <v>18.273750000000003</v>
      </c>
      <c r="F1896" s="13">
        <v>0</v>
      </c>
      <c r="G1896" s="14" t="s">
        <v>198</v>
      </c>
    </row>
    <row r="1897" spans="1:7" x14ac:dyDescent="0.25">
      <c r="A1897" s="34" t="str">
        <f>"PIEZA 8113 SERIE A Nº 25"</f>
        <v>PIEZA 8113 SERIE A Nº 25</v>
      </c>
      <c r="B1897" s="2">
        <v>21</v>
      </c>
      <c r="C1897" s="2">
        <v>2</v>
      </c>
      <c r="D1897" s="11" t="str">
        <f t="shared" si="39"/>
        <v>UN</v>
      </c>
      <c r="E1897" s="12">
        <v>8.6624999999999996</v>
      </c>
      <c r="F1897" s="13">
        <v>0</v>
      </c>
      <c r="G1897" s="14" t="s">
        <v>198</v>
      </c>
    </row>
    <row r="1898" spans="1:7" x14ac:dyDescent="0.25">
      <c r="A1898" s="34" t="str">
        <f>"PIEZA 8115 SERIE B Nº 01"</f>
        <v>PIEZA 8115 SERIE B Nº 01</v>
      </c>
      <c r="B1898" s="2">
        <v>21</v>
      </c>
      <c r="C1898" s="2">
        <v>40</v>
      </c>
      <c r="D1898" s="11" t="str">
        <f t="shared" si="39"/>
        <v>UN</v>
      </c>
      <c r="E1898" s="12">
        <v>99</v>
      </c>
      <c r="F1898" s="13">
        <v>0</v>
      </c>
      <c r="G1898" s="14" t="s">
        <v>198</v>
      </c>
    </row>
    <row r="1899" spans="1:7" x14ac:dyDescent="0.25">
      <c r="A1899" s="34" t="str">
        <f>"PIEZA 8115 SERIE B Nº 02"</f>
        <v>PIEZA 8115 SERIE B Nº 02</v>
      </c>
      <c r="B1899" s="2">
        <v>21</v>
      </c>
      <c r="C1899" s="2">
        <v>39</v>
      </c>
      <c r="D1899" s="11" t="str">
        <f t="shared" si="39"/>
        <v>UN</v>
      </c>
      <c r="E1899" s="12">
        <v>42.900000000000006</v>
      </c>
      <c r="F1899" s="13">
        <v>0</v>
      </c>
      <c r="G1899" s="14" t="s">
        <v>198</v>
      </c>
    </row>
    <row r="1900" spans="1:7" x14ac:dyDescent="0.25">
      <c r="A1900" s="34" t="str">
        <f>"PIEZA 8116 SERIE B Nº 07 BOLSA POLVO"</f>
        <v>PIEZA 8116 SERIE B Nº 07 BOLSA POLVO</v>
      </c>
      <c r="B1900" s="2">
        <v>21</v>
      </c>
      <c r="C1900" s="2">
        <v>18</v>
      </c>
      <c r="D1900" s="11" t="str">
        <f t="shared" si="39"/>
        <v>UN</v>
      </c>
      <c r="E1900" s="12">
        <v>450.45</v>
      </c>
      <c r="F1900" s="13">
        <v>0</v>
      </c>
      <c r="G1900" s="14" t="s">
        <v>198</v>
      </c>
    </row>
    <row r="1901" spans="1:7" x14ac:dyDescent="0.25">
      <c r="A1901" s="34" t="str">
        <f>"PIEZA 8116 SERIE B Nº 09+10 848118"</f>
        <v>PIEZA 8116 SERIE B Nº 09+10 848118</v>
      </c>
      <c r="B1901" s="2">
        <v>21</v>
      </c>
      <c r="C1901" s="2">
        <v>4</v>
      </c>
      <c r="D1901" s="11" t="str">
        <f t="shared" si="39"/>
        <v>UN</v>
      </c>
      <c r="E1901" s="12">
        <v>18.094999999999999</v>
      </c>
      <c r="F1901" s="13">
        <v>0</v>
      </c>
      <c r="G1901" s="14" t="s">
        <v>198</v>
      </c>
    </row>
    <row r="1902" spans="1:7" x14ac:dyDescent="0.25">
      <c r="A1902" s="34" t="str">
        <f>"PIEZA 8116 SERIE B Nº 11"</f>
        <v>PIEZA 8116 SERIE B Nº 11</v>
      </c>
      <c r="B1902" s="2">
        <v>21</v>
      </c>
      <c r="C1902" s="2">
        <v>1</v>
      </c>
      <c r="D1902" s="11" t="str">
        <f t="shared" si="39"/>
        <v>UN</v>
      </c>
      <c r="E1902" s="12">
        <v>3.5750000000000002</v>
      </c>
      <c r="F1902" s="13">
        <v>0</v>
      </c>
      <c r="G1902" s="14" t="s">
        <v>198</v>
      </c>
    </row>
    <row r="1903" spans="1:7" x14ac:dyDescent="0.25">
      <c r="A1903" s="34" t="str">
        <f>"PIEZA 8130 SERIE A Nº 15"</f>
        <v>PIEZA 8130 SERIE A Nº 15</v>
      </c>
      <c r="B1903" s="2">
        <v>21</v>
      </c>
      <c r="C1903" s="2">
        <v>2</v>
      </c>
      <c r="D1903" s="11" t="str">
        <f t="shared" si="39"/>
        <v>UN</v>
      </c>
      <c r="E1903" s="12">
        <v>5.7750000000000012</v>
      </c>
      <c r="F1903" s="13">
        <v>0</v>
      </c>
      <c r="G1903" s="14" t="s">
        <v>198</v>
      </c>
    </row>
    <row r="1904" spans="1:7" x14ac:dyDescent="0.25">
      <c r="A1904" s="34" t="str">
        <f>"PIEZA 9020  SERIE A Nº 01"</f>
        <v>PIEZA 9020  SERIE A Nº 01</v>
      </c>
      <c r="B1904" s="2">
        <v>21</v>
      </c>
      <c r="C1904" s="2">
        <v>1</v>
      </c>
      <c r="D1904" s="11" t="str">
        <f t="shared" si="39"/>
        <v>UN</v>
      </c>
      <c r="E1904" s="12">
        <v>33.412500000000009</v>
      </c>
      <c r="F1904" s="13">
        <v>0</v>
      </c>
      <c r="G1904" s="14" t="s">
        <v>198</v>
      </c>
    </row>
    <row r="1905" spans="1:7" x14ac:dyDescent="0.25">
      <c r="A1905" s="34" t="str">
        <f>"PIEZA 9020  SERIE A Nº 03"</f>
        <v>PIEZA 9020  SERIE A Nº 03</v>
      </c>
      <c r="B1905" s="2">
        <v>21</v>
      </c>
      <c r="C1905" s="2">
        <v>3</v>
      </c>
      <c r="D1905" s="11" t="str">
        <f t="shared" si="39"/>
        <v>UN</v>
      </c>
      <c r="E1905" s="12">
        <v>1087.7625</v>
      </c>
      <c r="F1905" s="13">
        <v>0</v>
      </c>
      <c r="G1905" s="14" t="s">
        <v>198</v>
      </c>
    </row>
    <row r="1906" spans="1:7" x14ac:dyDescent="0.25">
      <c r="A1906" s="34" t="str">
        <f>"PIEZA 9020  SERIE A Nº 28"</f>
        <v>PIEZA 9020  SERIE A Nº 28</v>
      </c>
      <c r="B1906" s="2">
        <v>21</v>
      </c>
      <c r="C1906" s="2">
        <v>2</v>
      </c>
      <c r="D1906" s="11" t="str">
        <f t="shared" si="39"/>
        <v>UN</v>
      </c>
      <c r="E1906" s="12">
        <v>16.774999999999999</v>
      </c>
      <c r="F1906" s="13">
        <v>0</v>
      </c>
      <c r="G1906" s="14" t="s">
        <v>198</v>
      </c>
    </row>
    <row r="1907" spans="1:7" x14ac:dyDescent="0.25">
      <c r="A1907" s="34" t="str">
        <f>"PIEZA AM100 SERIE A Nº 14"</f>
        <v>PIEZA AM100 SERIE A Nº 14</v>
      </c>
      <c r="B1907" s="2">
        <v>21</v>
      </c>
      <c r="C1907" s="2">
        <v>2</v>
      </c>
      <c r="D1907" s="11" t="str">
        <f t="shared" si="39"/>
        <v>UN</v>
      </c>
      <c r="E1907" s="12">
        <v>0.77000000000000024</v>
      </c>
      <c r="F1907" s="13">
        <v>0</v>
      </c>
      <c r="G1907" s="14" t="s">
        <v>198</v>
      </c>
    </row>
    <row r="1908" spans="1:7" x14ac:dyDescent="0.25">
      <c r="A1908" s="34" t="str">
        <f>"PIEZA AM100 SERIE A Nº 20"</f>
        <v>PIEZA AM100 SERIE A Nº 20</v>
      </c>
      <c r="B1908" s="2">
        <v>21</v>
      </c>
      <c r="C1908" s="2">
        <v>3</v>
      </c>
      <c r="D1908" s="11" t="str">
        <f t="shared" si="39"/>
        <v>UN</v>
      </c>
      <c r="E1908" s="12">
        <v>7.0537500000000009</v>
      </c>
      <c r="F1908" s="13">
        <v>0</v>
      </c>
      <c r="G1908" s="14" t="s">
        <v>198</v>
      </c>
    </row>
    <row r="1909" spans="1:7" x14ac:dyDescent="0.25">
      <c r="A1909" s="34" t="str">
        <f>"PIEZA AM100 SERIE A Nº 24"</f>
        <v>PIEZA AM100 SERIE A Nº 24</v>
      </c>
      <c r="B1909" s="2">
        <v>21</v>
      </c>
      <c r="C1909" s="2">
        <v>3</v>
      </c>
      <c r="D1909" s="11" t="str">
        <f t="shared" si="39"/>
        <v>UN</v>
      </c>
      <c r="E1909" s="12">
        <v>0</v>
      </c>
      <c r="F1909" s="13">
        <v>0</v>
      </c>
      <c r="G1909" s="14" t="s">
        <v>198</v>
      </c>
    </row>
    <row r="1910" spans="1:7" x14ac:dyDescent="0.25">
      <c r="A1910" s="34" t="str">
        <f>"PIEZA AM100 SERIE B Nº 28"</f>
        <v>PIEZA AM100 SERIE B Nº 28</v>
      </c>
      <c r="B1910" s="2">
        <v>21</v>
      </c>
      <c r="C1910" s="2">
        <v>2</v>
      </c>
      <c r="D1910" s="11" t="str">
        <f t="shared" si="39"/>
        <v>UN</v>
      </c>
      <c r="E1910" s="12">
        <v>25.932500000000001</v>
      </c>
      <c r="F1910" s="13">
        <v>0</v>
      </c>
      <c r="G1910" s="14" t="s">
        <v>198</v>
      </c>
    </row>
    <row r="1911" spans="1:7" x14ac:dyDescent="0.25">
      <c r="A1911" s="34" t="str">
        <f>"PIEZA AM100 SERIE B Nº 29"</f>
        <v>PIEZA AM100 SERIE B Nº 29</v>
      </c>
      <c r="B1911" s="2">
        <v>21</v>
      </c>
      <c r="C1911" s="2">
        <v>2</v>
      </c>
      <c r="D1911" s="11" t="str">
        <f t="shared" si="39"/>
        <v>UN</v>
      </c>
      <c r="E1911" s="12">
        <v>0</v>
      </c>
      <c r="F1911" s="13">
        <v>0</v>
      </c>
      <c r="G1911" s="14" t="s">
        <v>198</v>
      </c>
    </row>
    <row r="1912" spans="1:7" x14ac:dyDescent="0.25">
      <c r="A1912" s="34" t="str">
        <f>"PIEZA AM100 SERIE B Nº 33"</f>
        <v>PIEZA AM100 SERIE B Nº 33</v>
      </c>
      <c r="B1912" s="2">
        <v>21</v>
      </c>
      <c r="C1912" s="2">
        <v>1</v>
      </c>
      <c r="D1912" s="11" t="str">
        <f t="shared" si="39"/>
        <v>UN</v>
      </c>
      <c r="E1912" s="12">
        <v>0.97625000000000006</v>
      </c>
      <c r="F1912" s="13">
        <v>0</v>
      </c>
      <c r="G1912" s="14" t="s">
        <v>198</v>
      </c>
    </row>
    <row r="1913" spans="1:7" x14ac:dyDescent="0.25">
      <c r="A1913" s="34" t="str">
        <f>"PIEZA AM100 SERIE C Nº 19"</f>
        <v>PIEZA AM100 SERIE C Nº 19</v>
      </c>
      <c r="B1913" s="2">
        <v>21</v>
      </c>
      <c r="C1913" s="2">
        <v>3</v>
      </c>
      <c r="D1913" s="11" t="str">
        <f t="shared" si="39"/>
        <v>UN</v>
      </c>
      <c r="E1913" s="12">
        <v>96.071249999999992</v>
      </c>
      <c r="F1913" s="13">
        <v>0</v>
      </c>
      <c r="G1913" s="14" t="s">
        <v>198</v>
      </c>
    </row>
    <row r="1914" spans="1:7" x14ac:dyDescent="0.25">
      <c r="A1914" s="34" t="str">
        <f>"PIEZA AM100 SERIE C Nº 22"</f>
        <v>PIEZA AM100 SERIE C Nº 22</v>
      </c>
      <c r="B1914" s="2">
        <v>21</v>
      </c>
      <c r="C1914" s="2">
        <v>5</v>
      </c>
      <c r="D1914" s="11" t="str">
        <f t="shared" si="39"/>
        <v>UN</v>
      </c>
      <c r="E1914" s="12">
        <v>36.162500000000001</v>
      </c>
      <c r="F1914" s="13">
        <v>0</v>
      </c>
      <c r="G1914" s="14" t="s">
        <v>198</v>
      </c>
    </row>
    <row r="1915" spans="1:7" x14ac:dyDescent="0.25">
      <c r="A1915" s="34" t="str">
        <f>"PIEZA AM103 SERIE A Nº 04"</f>
        <v>PIEZA AM103 SERIE A Nº 04</v>
      </c>
      <c r="B1915" s="2">
        <v>21</v>
      </c>
      <c r="C1915" s="2">
        <v>1</v>
      </c>
      <c r="D1915" s="11" t="str">
        <f t="shared" si="39"/>
        <v>UN</v>
      </c>
      <c r="E1915" s="12">
        <v>9.4875000000000007</v>
      </c>
      <c r="F1915" s="13">
        <v>0</v>
      </c>
      <c r="G1915" s="14" t="s">
        <v>198</v>
      </c>
    </row>
    <row r="1916" spans="1:7" x14ac:dyDescent="0.25">
      <c r="A1916" s="34" t="str">
        <f>"PIEZA AM103 SERIE A Nº 19"</f>
        <v>PIEZA AM103 SERIE A Nº 19</v>
      </c>
      <c r="B1916" s="2">
        <v>21</v>
      </c>
      <c r="C1916" s="2">
        <v>4</v>
      </c>
      <c r="D1916" s="11" t="str">
        <f t="shared" si="39"/>
        <v>UN</v>
      </c>
      <c r="E1916" s="12">
        <v>69.905000000000001</v>
      </c>
      <c r="F1916" s="13">
        <v>0</v>
      </c>
      <c r="G1916" s="14" t="s">
        <v>198</v>
      </c>
    </row>
    <row r="1917" spans="1:7" x14ac:dyDescent="0.25">
      <c r="A1917" s="34" t="str">
        <f>"PIEZA AM103 SERIE A Nº 25"</f>
        <v>PIEZA AM103 SERIE A Nº 25</v>
      </c>
      <c r="B1917" s="2">
        <v>21</v>
      </c>
      <c r="C1917" s="2">
        <v>1</v>
      </c>
      <c r="D1917" s="11" t="str">
        <f t="shared" si="39"/>
        <v>UN</v>
      </c>
      <c r="E1917" s="12">
        <v>3.9187500000000006</v>
      </c>
      <c r="F1917" s="13">
        <v>0</v>
      </c>
      <c r="G1917" s="14" t="s">
        <v>198</v>
      </c>
    </row>
    <row r="1918" spans="1:7" x14ac:dyDescent="0.25">
      <c r="A1918" s="34" t="str">
        <f>"PIEZA AM120 SERIE A Nº 22"</f>
        <v>PIEZA AM120 SERIE A Nº 22</v>
      </c>
      <c r="B1918" s="2">
        <v>21</v>
      </c>
      <c r="C1918" s="2">
        <v>1</v>
      </c>
      <c r="D1918" s="11" t="str">
        <f t="shared" si="39"/>
        <v>UN</v>
      </c>
      <c r="E1918" s="12">
        <v>4.5237500000000006</v>
      </c>
      <c r="F1918" s="13">
        <v>0</v>
      </c>
      <c r="G1918" s="14" t="s">
        <v>198</v>
      </c>
    </row>
    <row r="1919" spans="1:7" x14ac:dyDescent="0.25">
      <c r="A1919" s="34" t="str">
        <f>"PIEZA AM160 SERIE B Nº 39"</f>
        <v>PIEZA AM160 SERIE B Nº 39</v>
      </c>
      <c r="B1919" s="2">
        <v>21</v>
      </c>
      <c r="C1919" s="2">
        <v>4</v>
      </c>
      <c r="D1919" s="11" t="str">
        <f t="shared" si="39"/>
        <v>UN</v>
      </c>
      <c r="E1919" s="12">
        <v>34.650000000000006</v>
      </c>
      <c r="F1919" s="13">
        <v>0</v>
      </c>
      <c r="G1919" s="14" t="s">
        <v>198</v>
      </c>
    </row>
    <row r="1920" spans="1:7" x14ac:dyDescent="0.25">
      <c r="A1920" s="34" t="str">
        <f>"PIEZA AM160 SERIE B Nº 43"</f>
        <v>PIEZA AM160 SERIE B Nº 43</v>
      </c>
      <c r="B1920" s="2">
        <v>21</v>
      </c>
      <c r="C1920" s="2">
        <v>8</v>
      </c>
      <c r="D1920" s="11" t="str">
        <f t="shared" si="39"/>
        <v>UN</v>
      </c>
      <c r="E1920" s="12">
        <v>89.54000000000002</v>
      </c>
      <c r="F1920" s="13">
        <v>0</v>
      </c>
      <c r="G1920" s="14" t="s">
        <v>198</v>
      </c>
    </row>
    <row r="1921" spans="1:7" x14ac:dyDescent="0.25">
      <c r="A1921" s="34" t="str">
        <f>"PIEZA BEG212 No. 22"</f>
        <v>PIEZA BEG212 No. 22</v>
      </c>
      <c r="B1921" s="2">
        <v>21</v>
      </c>
      <c r="C1921" s="2">
        <v>1</v>
      </c>
      <c r="D1921" s="11" t="str">
        <f t="shared" si="39"/>
        <v>UN</v>
      </c>
      <c r="E1921" s="12">
        <v>0</v>
      </c>
      <c r="F1921" s="13">
        <v>0</v>
      </c>
      <c r="G1921" s="14" t="s">
        <v>198</v>
      </c>
    </row>
    <row r="1922" spans="1:7" x14ac:dyDescent="0.25">
      <c r="A1922" s="34" t="str">
        <f>"PIEZA BEG214 No. 18"</f>
        <v>PIEZA BEG214 No. 18</v>
      </c>
      <c r="B1922" s="2">
        <v>21</v>
      </c>
      <c r="C1922" s="2">
        <v>1</v>
      </c>
      <c r="D1922" s="11" t="str">
        <f t="shared" si="39"/>
        <v>UN</v>
      </c>
      <c r="E1922" s="12">
        <v>0</v>
      </c>
      <c r="F1922" s="13">
        <v>0</v>
      </c>
      <c r="G1922" s="14" t="s">
        <v>198</v>
      </c>
    </row>
    <row r="1923" spans="1:7" x14ac:dyDescent="0.25">
      <c r="A1923" s="34" t="str">
        <f>"PIEZA BEG214 No. 21"</f>
        <v>PIEZA BEG214 No. 21</v>
      </c>
      <c r="B1923" s="2">
        <v>21</v>
      </c>
      <c r="C1923" s="2">
        <v>3</v>
      </c>
      <c r="D1923" s="11" t="str">
        <f t="shared" si="39"/>
        <v>UN</v>
      </c>
      <c r="E1923" s="12">
        <v>0</v>
      </c>
      <c r="F1923" s="13">
        <v>0</v>
      </c>
      <c r="G1923" s="14" t="s">
        <v>198</v>
      </c>
    </row>
    <row r="1924" spans="1:7" x14ac:dyDescent="0.25">
      <c r="A1924" s="34" t="str">
        <f>"PIEZA BEG214A No. 19"</f>
        <v>PIEZA BEG214A No. 19</v>
      </c>
      <c r="B1924" s="2">
        <v>21</v>
      </c>
      <c r="C1924" s="2">
        <v>1</v>
      </c>
      <c r="D1924" s="11" t="str">
        <f t="shared" si="39"/>
        <v>UN</v>
      </c>
      <c r="E1924" s="12">
        <v>4.2350000000000003</v>
      </c>
      <c r="F1924" s="13">
        <v>0</v>
      </c>
      <c r="G1924" s="14" t="s">
        <v>198</v>
      </c>
    </row>
    <row r="1925" spans="1:7" x14ac:dyDescent="0.25">
      <c r="A1925" s="34" t="str">
        <f>"PIEZA BEG214A No. 20"</f>
        <v>PIEZA BEG214A No. 20</v>
      </c>
      <c r="B1925" s="2">
        <v>21</v>
      </c>
      <c r="C1925" s="2">
        <v>2</v>
      </c>
      <c r="D1925" s="11" t="str">
        <f t="shared" si="39"/>
        <v>UN</v>
      </c>
      <c r="E1925" s="12">
        <v>4.125</v>
      </c>
      <c r="F1925" s="13">
        <v>0</v>
      </c>
      <c r="G1925" s="14" t="s">
        <v>198</v>
      </c>
    </row>
    <row r="1926" spans="1:7" x14ac:dyDescent="0.25">
      <c r="A1926" s="34" t="str">
        <f>"PIEZA GH 300 ECO Nº13 SERIE A"</f>
        <v>PIEZA GH 300 ECO Nº13 SERIE A</v>
      </c>
      <c r="B1926" s="2">
        <v>21</v>
      </c>
      <c r="C1926" s="2">
        <v>2</v>
      </c>
      <c r="D1926" s="11" t="str">
        <f t="shared" si="39"/>
        <v>UN</v>
      </c>
      <c r="E1926" s="12">
        <v>65.037499999999994</v>
      </c>
      <c r="F1926" s="13">
        <v>0</v>
      </c>
      <c r="G1926" s="14" t="s">
        <v>198</v>
      </c>
    </row>
    <row r="1927" spans="1:7" x14ac:dyDescent="0.25">
      <c r="A1927" s="34" t="str">
        <f>"PIEZA HR255-PA-41"</f>
        <v>PIEZA HR255-PA-41</v>
      </c>
      <c r="B1927" s="2">
        <v>21</v>
      </c>
      <c r="C1927" s="2">
        <v>1</v>
      </c>
      <c r="D1927" s="11" t="str">
        <f t="shared" si="39"/>
        <v>UN</v>
      </c>
      <c r="E1927" s="12">
        <v>114.8125</v>
      </c>
      <c r="F1927" s="13">
        <v>0</v>
      </c>
      <c r="G1927" s="14" t="s">
        <v>198</v>
      </c>
    </row>
    <row r="1928" spans="1:7" x14ac:dyDescent="0.25">
      <c r="A1928" s="34" t="str">
        <f>"PIEZA HRS 10 SERIE B Nº 02"</f>
        <v>PIEZA HRS 10 SERIE B Nº 02</v>
      </c>
      <c r="B1928" s="2">
        <v>21</v>
      </c>
      <c r="C1928" s="2">
        <v>2</v>
      </c>
      <c r="D1928" s="11" t="str">
        <f t="shared" si="39"/>
        <v>UN</v>
      </c>
      <c r="E1928" s="12">
        <v>92.125000000000014</v>
      </c>
      <c r="F1928" s="13">
        <v>0</v>
      </c>
      <c r="G1928" s="14" t="s">
        <v>198</v>
      </c>
    </row>
    <row r="1929" spans="1:7" x14ac:dyDescent="0.25">
      <c r="A1929" s="34" t="str">
        <f>"PIEZA HRS 10 SERIE B Nº 03"</f>
        <v>PIEZA HRS 10 SERIE B Nº 03</v>
      </c>
      <c r="B1929" s="2">
        <v>21</v>
      </c>
      <c r="C1929" s="2">
        <v>2</v>
      </c>
      <c r="D1929" s="11" t="str">
        <f t="shared" si="39"/>
        <v>UN</v>
      </c>
      <c r="E1929" s="12">
        <v>32.450000000000003</v>
      </c>
      <c r="F1929" s="13">
        <v>0</v>
      </c>
      <c r="G1929" s="14" t="s">
        <v>198</v>
      </c>
    </row>
    <row r="1930" spans="1:7" x14ac:dyDescent="0.25">
      <c r="A1930" s="34" t="str">
        <f>"PIEZA HRS 10 SERIE B Nº 06"</f>
        <v>PIEZA HRS 10 SERIE B Nº 06</v>
      </c>
      <c r="B1930" s="2">
        <v>21</v>
      </c>
      <c r="C1930" s="2">
        <v>2</v>
      </c>
      <c r="D1930" s="11" t="str">
        <f t="shared" ref="D1930:D1993" si="40">"UN"</f>
        <v>UN</v>
      </c>
      <c r="E1930" s="12">
        <v>16.500000000000004</v>
      </c>
      <c r="F1930" s="13">
        <v>0</v>
      </c>
      <c r="G1930" s="14" t="s">
        <v>198</v>
      </c>
    </row>
    <row r="1931" spans="1:7" x14ac:dyDescent="0.25">
      <c r="A1931" s="34" t="str">
        <f>"PIEZA HRS 10 SERIE B Nº 16"</f>
        <v>PIEZA HRS 10 SERIE B Nº 16</v>
      </c>
      <c r="B1931" s="2">
        <v>21</v>
      </c>
      <c r="C1931" s="2">
        <v>2</v>
      </c>
      <c r="D1931" s="11" t="str">
        <f t="shared" si="40"/>
        <v>UN</v>
      </c>
      <c r="E1931" s="12">
        <v>7.1500000000000012</v>
      </c>
      <c r="F1931" s="13">
        <v>0</v>
      </c>
      <c r="G1931" s="14" t="s">
        <v>198</v>
      </c>
    </row>
    <row r="1932" spans="1:7" x14ac:dyDescent="0.25">
      <c r="A1932" s="34" t="str">
        <f>"PIEZA HRS 10 SERIE B Nº 19"</f>
        <v>PIEZA HRS 10 SERIE B Nº 19</v>
      </c>
      <c r="B1932" s="2">
        <v>21</v>
      </c>
      <c r="C1932" s="2">
        <v>2</v>
      </c>
      <c r="D1932" s="11" t="str">
        <f t="shared" si="40"/>
        <v>UN</v>
      </c>
      <c r="E1932" s="12">
        <v>2.75</v>
      </c>
      <c r="F1932" s="13">
        <v>0</v>
      </c>
      <c r="G1932" s="14" t="s">
        <v>198</v>
      </c>
    </row>
    <row r="1933" spans="1:7" x14ac:dyDescent="0.25">
      <c r="A1933" s="34" t="str">
        <f>"PIEZA HRS 10 SERIE D Nº 12+13+14+15"</f>
        <v>PIEZA HRS 10 SERIE D Nº 12+13+14+15</v>
      </c>
      <c r="B1933" s="2">
        <v>21</v>
      </c>
      <c r="C1933" s="2">
        <v>3</v>
      </c>
      <c r="D1933" s="11" t="str">
        <f t="shared" si="40"/>
        <v>UN</v>
      </c>
      <c r="E1933" s="12">
        <v>84.975000000000023</v>
      </c>
      <c r="F1933" s="13">
        <v>0</v>
      </c>
      <c r="G1933" s="14" t="s">
        <v>198</v>
      </c>
    </row>
    <row r="1934" spans="1:7" x14ac:dyDescent="0.25">
      <c r="A1934" s="34" t="str">
        <f>"PIEZA LHH22 SERIE A Nº 1-1"</f>
        <v>PIEZA LHH22 SERIE A Nº 1-1</v>
      </c>
      <c r="B1934" s="2">
        <v>21</v>
      </c>
      <c r="C1934" s="2">
        <v>2</v>
      </c>
      <c r="D1934" s="11" t="str">
        <f t="shared" si="40"/>
        <v>UN</v>
      </c>
      <c r="E1934" s="12">
        <v>3.3000000000000003</v>
      </c>
      <c r="F1934" s="13">
        <v>0</v>
      </c>
      <c r="G1934" s="14" t="s">
        <v>198</v>
      </c>
    </row>
    <row r="1935" spans="1:7" x14ac:dyDescent="0.25">
      <c r="A1935" s="34" t="str">
        <f>"PIEZA LHH22 SERIE A Nº 1-3"</f>
        <v>PIEZA LHH22 SERIE A Nº 1-3</v>
      </c>
      <c r="B1935" s="2">
        <v>21</v>
      </c>
      <c r="C1935" s="2">
        <v>4</v>
      </c>
      <c r="D1935" s="11" t="str">
        <f t="shared" si="40"/>
        <v>UN</v>
      </c>
      <c r="E1935" s="12">
        <v>762.02500000000009</v>
      </c>
      <c r="F1935" s="13">
        <v>0</v>
      </c>
      <c r="G1935" s="14" t="s">
        <v>198</v>
      </c>
    </row>
    <row r="1936" spans="1:7" x14ac:dyDescent="0.25">
      <c r="A1936" s="34" t="str">
        <f>"PIEZA PHP 10 SERIE D Nº 13"</f>
        <v>PIEZA PHP 10 SERIE D Nº 13</v>
      </c>
      <c r="B1936" s="2">
        <v>21</v>
      </c>
      <c r="C1936" s="2">
        <v>2</v>
      </c>
      <c r="D1936" s="11" t="str">
        <f t="shared" si="40"/>
        <v>UN</v>
      </c>
      <c r="E1936" s="12">
        <v>7.9750000000000014</v>
      </c>
      <c r="F1936" s="13">
        <v>0</v>
      </c>
      <c r="G1936" s="14" t="s">
        <v>198</v>
      </c>
    </row>
    <row r="1937" spans="1:7" x14ac:dyDescent="0.25">
      <c r="A1937" s="34" t="str">
        <f>"PIEZA PHP 10 SERIE D Nº 23"</f>
        <v>PIEZA PHP 10 SERIE D Nº 23</v>
      </c>
      <c r="B1937" s="2">
        <v>21</v>
      </c>
      <c r="C1937" s="2">
        <v>2</v>
      </c>
      <c r="D1937" s="11" t="str">
        <f t="shared" si="40"/>
        <v>UN</v>
      </c>
      <c r="E1937" s="12">
        <v>4.95</v>
      </c>
      <c r="F1937" s="13">
        <v>0</v>
      </c>
      <c r="G1937" s="14" t="s">
        <v>198</v>
      </c>
    </row>
    <row r="1938" spans="1:7" x14ac:dyDescent="0.25">
      <c r="A1938" s="34" t="str">
        <f>"PIEZA PHP 10 SERIE D Nº 25"</f>
        <v>PIEZA PHP 10 SERIE D Nº 25</v>
      </c>
      <c r="B1938" s="2">
        <v>21</v>
      </c>
      <c r="C1938" s="2">
        <v>2</v>
      </c>
      <c r="D1938" s="11" t="str">
        <f t="shared" si="40"/>
        <v>UN</v>
      </c>
      <c r="E1938" s="12">
        <v>15.675000000000002</v>
      </c>
      <c r="F1938" s="13">
        <v>0</v>
      </c>
      <c r="G1938" s="14" t="s">
        <v>198</v>
      </c>
    </row>
    <row r="1939" spans="1:7" x14ac:dyDescent="0.25">
      <c r="A1939" s="34" t="str">
        <f>"PIEZA PHP 10 SERIE D Nº 33"</f>
        <v>PIEZA PHP 10 SERIE D Nº 33</v>
      </c>
      <c r="B1939" s="2">
        <v>21</v>
      </c>
      <c r="C1939" s="2">
        <v>2</v>
      </c>
      <c r="D1939" s="11" t="str">
        <f t="shared" si="40"/>
        <v>UN</v>
      </c>
      <c r="E1939" s="12">
        <v>4.95</v>
      </c>
      <c r="F1939" s="13">
        <v>0</v>
      </c>
      <c r="G1939" s="14" t="s">
        <v>198</v>
      </c>
    </row>
    <row r="1940" spans="1:7" x14ac:dyDescent="0.25">
      <c r="A1940" s="34" t="str">
        <f>"PIEZA PHP 10 SERIE D Nº 72"</f>
        <v>PIEZA PHP 10 SERIE D Nº 72</v>
      </c>
      <c r="B1940" s="2">
        <v>21</v>
      </c>
      <c r="C1940" s="2">
        <v>2</v>
      </c>
      <c r="D1940" s="11" t="str">
        <f t="shared" si="40"/>
        <v>UN</v>
      </c>
      <c r="E1940" s="12">
        <v>4.95</v>
      </c>
      <c r="F1940" s="13">
        <v>0</v>
      </c>
      <c r="G1940" s="14" t="s">
        <v>198</v>
      </c>
    </row>
    <row r="1941" spans="1:7" x14ac:dyDescent="0.25">
      <c r="A1941" s="34" t="str">
        <f>"PIEZA RH 214 ECO SERIE A  Nº  P18"</f>
        <v>PIEZA RH 214 ECO SERIE A  Nº  P18</v>
      </c>
      <c r="B1941" s="2">
        <v>21</v>
      </c>
      <c r="C1941" s="2">
        <v>2</v>
      </c>
      <c r="D1941" s="11" t="str">
        <f t="shared" si="40"/>
        <v>UN</v>
      </c>
      <c r="E1941" s="12">
        <v>61.32500000000001</v>
      </c>
      <c r="F1941" s="13">
        <v>0</v>
      </c>
      <c r="G1941" s="14" t="s">
        <v>198</v>
      </c>
    </row>
    <row r="1942" spans="1:7" x14ac:dyDescent="0.25">
      <c r="A1942" s="34" t="str">
        <f>"PIEZA RH 214 ECO SERIE A  Nº  P19"</f>
        <v>PIEZA RH 214 ECO SERIE A  Nº  P19</v>
      </c>
      <c r="B1942" s="2">
        <v>21</v>
      </c>
      <c r="C1942" s="2">
        <v>1</v>
      </c>
      <c r="D1942" s="11" t="str">
        <f t="shared" si="40"/>
        <v>UN</v>
      </c>
      <c r="E1942" s="12">
        <v>0.82500000000000007</v>
      </c>
      <c r="F1942" s="13">
        <v>0</v>
      </c>
      <c r="G1942" s="14" t="s">
        <v>198</v>
      </c>
    </row>
    <row r="1943" spans="1:7" x14ac:dyDescent="0.25">
      <c r="A1943" s="34" t="str">
        <f>"PIEZA RH 214 ECO SERIE A  Nº  P20"</f>
        <v>PIEZA RH 214 ECO SERIE A  Nº  P20</v>
      </c>
      <c r="B1943" s="2">
        <v>21</v>
      </c>
      <c r="C1943" s="2">
        <v>4</v>
      </c>
      <c r="D1943" s="11" t="str">
        <f t="shared" si="40"/>
        <v>UN</v>
      </c>
      <c r="E1943" s="12">
        <v>3.3000000000000003</v>
      </c>
      <c r="F1943" s="13">
        <v>0</v>
      </c>
      <c r="G1943" s="14" t="s">
        <v>198</v>
      </c>
    </row>
    <row r="1944" spans="1:7" x14ac:dyDescent="0.25">
      <c r="A1944" s="34" t="str">
        <f>"PIEZA RH 214 SERIE A  Nº 18"</f>
        <v>PIEZA RH 214 SERIE A  Nº 18</v>
      </c>
      <c r="B1944" s="2">
        <v>21</v>
      </c>
      <c r="C1944" s="2">
        <v>4</v>
      </c>
      <c r="D1944" s="11" t="str">
        <f t="shared" si="40"/>
        <v>UN</v>
      </c>
      <c r="E1944" s="12">
        <v>5.5000000000000009</v>
      </c>
      <c r="F1944" s="13">
        <v>0</v>
      </c>
      <c r="G1944" s="14" t="s">
        <v>198</v>
      </c>
    </row>
    <row r="1945" spans="1:7" x14ac:dyDescent="0.25">
      <c r="A1945" s="34" t="str">
        <f>"PIEZA RH 214 SERIE A  Nº 19"</f>
        <v>PIEZA RH 214 SERIE A  Nº 19</v>
      </c>
      <c r="B1945" s="2">
        <v>21</v>
      </c>
      <c r="C1945" s="2">
        <v>9</v>
      </c>
      <c r="D1945" s="11" t="str">
        <f t="shared" si="40"/>
        <v>UN</v>
      </c>
      <c r="E1945" s="12">
        <v>482.62500000000006</v>
      </c>
      <c r="F1945" s="13">
        <v>0</v>
      </c>
      <c r="G1945" s="14" t="s">
        <v>198</v>
      </c>
    </row>
    <row r="1946" spans="1:7" x14ac:dyDescent="0.25">
      <c r="A1946" s="34" t="str">
        <f>"PIEZA RH 214 SERIE A  Nº 20"</f>
        <v>PIEZA RH 214 SERIE A  Nº 20</v>
      </c>
      <c r="B1946" s="2">
        <v>21</v>
      </c>
      <c r="C1946" s="2">
        <v>8</v>
      </c>
      <c r="D1946" s="11" t="str">
        <f t="shared" si="40"/>
        <v>UN</v>
      </c>
      <c r="E1946" s="12">
        <v>18.700000000000003</v>
      </c>
      <c r="F1946" s="13">
        <v>0</v>
      </c>
      <c r="G1946" s="14" t="s">
        <v>198</v>
      </c>
    </row>
    <row r="1947" spans="1:7" x14ac:dyDescent="0.25">
      <c r="A1947" s="34" t="str">
        <f>"PIEZA RH 251 SERIE A  Nº 70"</f>
        <v>PIEZA RH 251 SERIE A  Nº 70</v>
      </c>
      <c r="B1947" s="2">
        <v>21</v>
      </c>
      <c r="C1947" s="2">
        <v>1</v>
      </c>
      <c r="D1947" s="11" t="str">
        <f t="shared" si="40"/>
        <v>UN</v>
      </c>
      <c r="E1947" s="12">
        <v>2.6124999999999994</v>
      </c>
      <c r="F1947" s="13">
        <v>0</v>
      </c>
      <c r="G1947" s="14" t="s">
        <v>198</v>
      </c>
    </row>
    <row r="1948" spans="1:7" x14ac:dyDescent="0.25">
      <c r="A1948" s="34" t="str">
        <f>"PIEZA RH 251 SERIE A  Nº 72"</f>
        <v>PIEZA RH 251 SERIE A  Nº 72</v>
      </c>
      <c r="B1948" s="2">
        <v>21</v>
      </c>
      <c r="C1948" s="2">
        <v>1</v>
      </c>
      <c r="D1948" s="11" t="str">
        <f t="shared" si="40"/>
        <v>UN</v>
      </c>
      <c r="E1948" s="12">
        <v>0.41249999999999998</v>
      </c>
      <c r="F1948" s="13">
        <v>0</v>
      </c>
      <c r="G1948" s="14" t="s">
        <v>198</v>
      </c>
    </row>
    <row r="1949" spans="1:7" x14ac:dyDescent="0.25">
      <c r="A1949" s="34" t="str">
        <f>"PIEZA RH 290 SERIE A Nº 14"</f>
        <v>PIEZA RH 290 SERIE A Nº 14</v>
      </c>
      <c r="B1949" s="2">
        <v>21</v>
      </c>
      <c r="C1949" s="2">
        <v>2</v>
      </c>
      <c r="D1949" s="11" t="str">
        <f t="shared" si="40"/>
        <v>UN</v>
      </c>
      <c r="E1949" s="12">
        <v>22.275000000000002</v>
      </c>
      <c r="F1949" s="13">
        <v>0</v>
      </c>
      <c r="G1949" s="14" t="s">
        <v>198</v>
      </c>
    </row>
    <row r="1950" spans="1:7" x14ac:dyDescent="0.25">
      <c r="A1950" s="34" t="str">
        <f>"PIEZA SA 14/50 nº 27 PB2081W1"</f>
        <v>PIEZA SA 14/50 nº 27 PB2081W1</v>
      </c>
      <c r="B1950" s="2">
        <v>21</v>
      </c>
      <c r="C1950" s="2">
        <v>20</v>
      </c>
      <c r="D1950" s="11" t="str">
        <f t="shared" si="40"/>
        <v>UN</v>
      </c>
      <c r="E1950" s="12">
        <v>156.47500000000005</v>
      </c>
      <c r="F1950" s="13">
        <v>0</v>
      </c>
      <c r="G1950" s="14" t="s">
        <v>198</v>
      </c>
    </row>
    <row r="1951" spans="1:7" x14ac:dyDescent="0.25">
      <c r="A1951" s="34" t="str">
        <f>"PIEZA SA 14/50 Nº 31"</f>
        <v>PIEZA SA 14/50 Nº 31</v>
      </c>
      <c r="B1951" s="2">
        <v>21</v>
      </c>
      <c r="C1951" s="2">
        <v>14</v>
      </c>
      <c r="D1951" s="11" t="str">
        <f t="shared" si="40"/>
        <v>UN</v>
      </c>
      <c r="E1951" s="12">
        <v>31.184999999999999</v>
      </c>
      <c r="F1951" s="13">
        <v>0</v>
      </c>
      <c r="G1951" s="14" t="s">
        <v>198</v>
      </c>
    </row>
    <row r="1952" spans="1:7" x14ac:dyDescent="0.25">
      <c r="A1952" s="34" t="str">
        <f>"PIEZA SA 14/50 NUM. 33"</f>
        <v>PIEZA SA 14/50 NUM. 33</v>
      </c>
      <c r="B1952" s="2">
        <v>21</v>
      </c>
      <c r="C1952" s="2">
        <v>8</v>
      </c>
      <c r="D1952" s="11" t="str">
        <f t="shared" si="40"/>
        <v>UN</v>
      </c>
      <c r="E1952" s="12">
        <v>112.31000000000002</v>
      </c>
      <c r="F1952" s="13">
        <v>0</v>
      </c>
      <c r="G1952" s="14" t="s">
        <v>198</v>
      </c>
    </row>
    <row r="1953" spans="1:7" x14ac:dyDescent="0.25">
      <c r="A1953" s="34" t="str">
        <f>"PIEZA SA MS14/50 NUM. 63"</f>
        <v>PIEZA SA MS14/50 NUM. 63</v>
      </c>
      <c r="B1953" s="2">
        <v>21</v>
      </c>
      <c r="C1953" s="2">
        <v>2</v>
      </c>
      <c r="D1953" s="11" t="str">
        <f t="shared" si="40"/>
        <v>UN</v>
      </c>
      <c r="E1953" s="12">
        <v>6.9300000000000015</v>
      </c>
      <c r="F1953" s="13">
        <v>0</v>
      </c>
      <c r="G1953" s="14" t="s">
        <v>198</v>
      </c>
    </row>
    <row r="1954" spans="1:7" x14ac:dyDescent="0.25">
      <c r="A1954" s="34" t="str">
        <f>"PIEZA SA MS14/50 NUM. 64"</f>
        <v>PIEZA SA MS14/50 NUM. 64</v>
      </c>
      <c r="B1954" s="2">
        <v>21</v>
      </c>
      <c r="C1954" s="2">
        <v>7</v>
      </c>
      <c r="D1954" s="11" t="str">
        <f t="shared" si="40"/>
        <v>UN</v>
      </c>
      <c r="E1954" s="12">
        <v>12.99375</v>
      </c>
      <c r="F1954" s="13">
        <v>0</v>
      </c>
      <c r="G1954" s="14" t="s">
        <v>198</v>
      </c>
    </row>
    <row r="1955" spans="1:7" x14ac:dyDescent="0.25">
      <c r="A1955" s="34" t="str">
        <f>"PIEZA SA MS14/50 NUM. 65"</f>
        <v>PIEZA SA MS14/50 NUM. 65</v>
      </c>
      <c r="B1955" s="2">
        <v>21</v>
      </c>
      <c r="C1955" s="2">
        <v>4</v>
      </c>
      <c r="D1955" s="11" t="str">
        <f t="shared" si="40"/>
        <v>UN</v>
      </c>
      <c r="E1955" s="12">
        <v>18.04</v>
      </c>
      <c r="F1955" s="13">
        <v>0</v>
      </c>
      <c r="G1955" s="14" t="s">
        <v>198</v>
      </c>
    </row>
    <row r="1956" spans="1:7" x14ac:dyDescent="0.25">
      <c r="A1956" s="34" t="str">
        <f>"PIEZA SAR 12 SERIE A Nº35"</f>
        <v>PIEZA SAR 12 SERIE A Nº35</v>
      </c>
      <c r="B1956" s="2">
        <v>21</v>
      </c>
      <c r="C1956" s="2">
        <v>1</v>
      </c>
      <c r="D1956" s="11" t="str">
        <f t="shared" si="40"/>
        <v>UN</v>
      </c>
      <c r="E1956" s="12">
        <v>41.38750000000001</v>
      </c>
      <c r="F1956" s="13">
        <v>0</v>
      </c>
      <c r="G1956" s="14" t="s">
        <v>198</v>
      </c>
    </row>
    <row r="1957" spans="1:7" x14ac:dyDescent="0.25">
      <c r="A1957" s="34" t="str">
        <f>"PIEZA SAR 14 SERIE A Nº 19"</f>
        <v>PIEZA SAR 14 SERIE A Nº 19</v>
      </c>
      <c r="B1957" s="2">
        <v>21</v>
      </c>
      <c r="C1957" s="2">
        <v>1</v>
      </c>
      <c r="D1957" s="11" t="str">
        <f t="shared" si="40"/>
        <v>UN</v>
      </c>
      <c r="E1957" s="12">
        <v>7.4250000000000016</v>
      </c>
      <c r="F1957" s="13">
        <v>0</v>
      </c>
      <c r="G1957" s="14" t="s">
        <v>198</v>
      </c>
    </row>
    <row r="1958" spans="1:7" x14ac:dyDescent="0.25">
      <c r="A1958" s="34" t="str">
        <f>"PIEZA SAR 14 SERIE A Nº 21"</f>
        <v>PIEZA SAR 14 SERIE A Nº 21</v>
      </c>
      <c r="B1958" s="2">
        <v>21</v>
      </c>
      <c r="C1958" s="2">
        <v>2</v>
      </c>
      <c r="D1958" s="11" t="str">
        <f t="shared" si="40"/>
        <v>UN</v>
      </c>
      <c r="E1958" s="12">
        <v>15.125000000000002</v>
      </c>
      <c r="F1958" s="13">
        <v>0</v>
      </c>
      <c r="G1958" s="14" t="s">
        <v>198</v>
      </c>
    </row>
    <row r="1959" spans="1:7" x14ac:dyDescent="0.25">
      <c r="A1959" s="34" t="str">
        <f>"PISTON SA T 64"</f>
        <v>PISTON SA T 64</v>
      </c>
      <c r="B1959" s="2">
        <v>21</v>
      </c>
      <c r="C1959" s="2">
        <v>24</v>
      </c>
      <c r="D1959" s="11" t="str">
        <f t="shared" si="40"/>
        <v>UN</v>
      </c>
      <c r="E1959" s="12">
        <v>876.1500000000002</v>
      </c>
      <c r="F1959" s="13">
        <v>0</v>
      </c>
      <c r="G1959" s="14" t="s">
        <v>198</v>
      </c>
    </row>
    <row r="1960" spans="1:7" x14ac:dyDescent="0.25">
      <c r="A1960" s="34" t="str">
        <f>"PKS6004 MUELLE CAB"</f>
        <v>PKS6004 MUELLE CAB</v>
      </c>
      <c r="B1960" s="2">
        <v>21</v>
      </c>
      <c r="C1960" s="2">
        <v>10</v>
      </c>
      <c r="D1960" s="11" t="str">
        <f t="shared" si="40"/>
        <v>UN</v>
      </c>
      <c r="E1960" s="12">
        <v>25.712500000000002</v>
      </c>
      <c r="F1960" s="13">
        <v>0</v>
      </c>
      <c r="G1960" s="14" t="s">
        <v>198</v>
      </c>
    </row>
    <row r="1961" spans="1:7" x14ac:dyDescent="0.25">
      <c r="A1961" s="34" t="str">
        <f>"PKS6005 TOPE CABEZA"</f>
        <v>PKS6005 TOPE CABEZA</v>
      </c>
      <c r="B1961" s="2">
        <v>21</v>
      </c>
      <c r="C1961" s="2">
        <v>9</v>
      </c>
      <c r="D1961" s="11" t="str">
        <f t="shared" si="40"/>
        <v>UN</v>
      </c>
      <c r="E1961" s="12">
        <v>69.423750000000013</v>
      </c>
      <c r="F1961" s="13">
        <v>0</v>
      </c>
      <c r="G1961" s="14" t="s">
        <v>198</v>
      </c>
    </row>
    <row r="1962" spans="1:7" x14ac:dyDescent="0.25">
      <c r="A1962" s="34" t="str">
        <f>"PKS6009 JUNTA VALV."</f>
        <v>PKS6009 JUNTA VALV.</v>
      </c>
      <c r="B1962" s="2">
        <v>21</v>
      </c>
      <c r="C1962" s="2">
        <v>9</v>
      </c>
      <c r="D1962" s="11" t="str">
        <f t="shared" si="40"/>
        <v>UN</v>
      </c>
      <c r="E1962" s="12">
        <v>33.288750000000007</v>
      </c>
      <c r="F1962" s="13">
        <v>0</v>
      </c>
      <c r="G1962" s="14" t="s">
        <v>198</v>
      </c>
    </row>
    <row r="1963" spans="1:7" x14ac:dyDescent="0.25">
      <c r="A1963" s="34" t="str">
        <f>"PKS6010 VALVULA"</f>
        <v>PKS6010 VALVULA</v>
      </c>
      <c r="B1963" s="2">
        <v>21</v>
      </c>
      <c r="C1963" s="2">
        <v>4</v>
      </c>
      <c r="D1963" s="11" t="str">
        <f t="shared" si="40"/>
        <v>UN</v>
      </c>
      <c r="E1963" s="12">
        <v>90.805000000000021</v>
      </c>
      <c r="F1963" s="13">
        <v>0</v>
      </c>
      <c r="G1963" s="14" t="s">
        <v>198</v>
      </c>
    </row>
    <row r="1964" spans="1:7" x14ac:dyDescent="0.25">
      <c r="A1964" s="34" t="str">
        <f>"PKS6011 JAULA"</f>
        <v>PKS6011 JAULA</v>
      </c>
      <c r="B1964" s="2">
        <v>21</v>
      </c>
      <c r="C1964" s="2">
        <v>3</v>
      </c>
      <c r="D1964" s="11" t="str">
        <f t="shared" si="40"/>
        <v>UN</v>
      </c>
      <c r="E1964" s="12">
        <v>40.383750000000006</v>
      </c>
      <c r="F1964" s="13">
        <v>0</v>
      </c>
      <c r="G1964" s="14" t="s">
        <v>198</v>
      </c>
    </row>
    <row r="1965" spans="1:7" x14ac:dyDescent="0.25">
      <c r="A1965" s="34" t="str">
        <f>"PKS6014 JUNTA CAM"</f>
        <v>PKS6014 JUNTA CAM</v>
      </c>
      <c r="B1965" s="2">
        <v>21</v>
      </c>
      <c r="C1965" s="2">
        <v>10</v>
      </c>
      <c r="D1965" s="11" t="str">
        <f t="shared" si="40"/>
        <v>UN</v>
      </c>
      <c r="E1965" s="12">
        <v>110.96250000000001</v>
      </c>
      <c r="F1965" s="13">
        <v>0</v>
      </c>
      <c r="G1965" s="14" t="s">
        <v>198</v>
      </c>
    </row>
    <row r="1966" spans="1:7" x14ac:dyDescent="0.25">
      <c r="A1966" s="34" t="str">
        <f>"PKS6020 JUNTA"</f>
        <v>PKS6020 JUNTA</v>
      </c>
      <c r="B1966" s="2">
        <v>21</v>
      </c>
      <c r="C1966" s="2">
        <v>9</v>
      </c>
      <c r="D1966" s="11" t="str">
        <f t="shared" si="40"/>
        <v>UN</v>
      </c>
      <c r="E1966" s="12">
        <v>16.706250000000004</v>
      </c>
      <c r="F1966" s="13">
        <v>0</v>
      </c>
      <c r="G1966" s="14" t="s">
        <v>198</v>
      </c>
    </row>
    <row r="1967" spans="1:7" x14ac:dyDescent="0.25">
      <c r="A1967" s="34" t="str">
        <f>"PKS6021 TUBO DISP."</f>
        <v>PKS6021 TUBO DISP.</v>
      </c>
      <c r="B1967" s="2">
        <v>21</v>
      </c>
      <c r="C1967" s="2">
        <v>2</v>
      </c>
      <c r="D1967" s="11" t="str">
        <f t="shared" si="40"/>
        <v>UN</v>
      </c>
      <c r="E1967" s="12">
        <v>15.427500000000002</v>
      </c>
      <c r="F1967" s="13">
        <v>0</v>
      </c>
      <c r="G1967" s="14" t="s">
        <v>198</v>
      </c>
    </row>
    <row r="1968" spans="1:7" x14ac:dyDescent="0.25">
      <c r="A1968" s="34" t="str">
        <f>"PKS6022 JUNTA"</f>
        <v>PKS6022 JUNTA</v>
      </c>
      <c r="B1968" s="2">
        <v>21</v>
      </c>
      <c r="C1968" s="2">
        <v>9</v>
      </c>
      <c r="D1968" s="11" t="str">
        <f t="shared" si="40"/>
        <v>UN</v>
      </c>
      <c r="E1968" s="12">
        <v>16.706250000000004</v>
      </c>
      <c r="F1968" s="13">
        <v>0</v>
      </c>
      <c r="G1968" s="14" t="s">
        <v>198</v>
      </c>
    </row>
    <row r="1969" spans="1:7" x14ac:dyDescent="0.25">
      <c r="A1969" s="34" t="str">
        <f>"PKS6023 JUNTA"</f>
        <v>PKS6023 JUNTA</v>
      </c>
      <c r="B1969" s="2">
        <v>21</v>
      </c>
      <c r="C1969" s="2">
        <v>10</v>
      </c>
      <c r="D1969" s="11" t="str">
        <f t="shared" si="40"/>
        <v>UN</v>
      </c>
      <c r="E1969" s="12">
        <v>25.712500000000002</v>
      </c>
      <c r="F1969" s="13">
        <v>0</v>
      </c>
      <c r="G1969" s="14" t="s">
        <v>198</v>
      </c>
    </row>
    <row r="1970" spans="1:7" x14ac:dyDescent="0.25">
      <c r="A1970" s="34" t="str">
        <f>"PKS6024 VAL.DISP"</f>
        <v>PKS6024 VAL.DISP</v>
      </c>
      <c r="B1970" s="2">
        <v>21</v>
      </c>
      <c r="C1970" s="2">
        <v>10</v>
      </c>
      <c r="D1970" s="11" t="str">
        <f t="shared" si="40"/>
        <v>UN</v>
      </c>
      <c r="E1970" s="12">
        <v>114.40000000000002</v>
      </c>
      <c r="F1970" s="13">
        <v>0</v>
      </c>
      <c r="G1970" s="14" t="s">
        <v>198</v>
      </c>
    </row>
    <row r="1971" spans="1:7" x14ac:dyDescent="0.25">
      <c r="A1971" s="34" t="str">
        <f>"PKS6025 VASTAGO DISP."</f>
        <v>PKS6025 VASTAGO DISP.</v>
      </c>
      <c r="B1971" s="2">
        <v>21</v>
      </c>
      <c r="C1971" s="2">
        <v>5</v>
      </c>
      <c r="D1971" s="11" t="str">
        <f t="shared" si="40"/>
        <v>UN</v>
      </c>
      <c r="E1971" s="12">
        <v>33.13750000000001</v>
      </c>
      <c r="F1971" s="13">
        <v>0</v>
      </c>
      <c r="G1971" s="14" t="s">
        <v>198</v>
      </c>
    </row>
    <row r="1972" spans="1:7" x14ac:dyDescent="0.25">
      <c r="A1972" s="34" t="str">
        <f>"PKS6026 JUNTA"</f>
        <v>PKS6026 JUNTA</v>
      </c>
      <c r="B1972" s="2">
        <v>21</v>
      </c>
      <c r="C1972" s="2">
        <v>10</v>
      </c>
      <c r="D1972" s="11" t="str">
        <f t="shared" si="40"/>
        <v>UN</v>
      </c>
      <c r="E1972" s="12">
        <v>25.712500000000002</v>
      </c>
      <c r="F1972" s="13">
        <v>0</v>
      </c>
      <c r="G1972" s="14" t="s">
        <v>198</v>
      </c>
    </row>
    <row r="1973" spans="1:7" x14ac:dyDescent="0.25">
      <c r="A1973" s="34" t="str">
        <f>"PKS6027 TAPA DISP."</f>
        <v>PKS6027 TAPA DISP.</v>
      </c>
      <c r="B1973" s="2">
        <v>21</v>
      </c>
      <c r="C1973" s="2">
        <v>10</v>
      </c>
      <c r="D1973" s="11" t="str">
        <f t="shared" si="40"/>
        <v>UN</v>
      </c>
      <c r="E1973" s="12">
        <v>134.61250000000001</v>
      </c>
      <c r="F1973" s="13">
        <v>0</v>
      </c>
      <c r="G1973" s="14" t="s">
        <v>198</v>
      </c>
    </row>
    <row r="1974" spans="1:7" x14ac:dyDescent="0.25">
      <c r="A1974" s="34" t="str">
        <f>"PKS6028 MUELLE"</f>
        <v>PKS6028 MUELLE</v>
      </c>
      <c r="B1974" s="2">
        <v>21</v>
      </c>
      <c r="C1974" s="2">
        <v>4</v>
      </c>
      <c r="D1974" s="11" t="str">
        <f t="shared" si="40"/>
        <v>UN</v>
      </c>
      <c r="E1974" s="12">
        <v>18.479999999999997</v>
      </c>
      <c r="F1974" s="13">
        <v>0</v>
      </c>
      <c r="G1974" s="14" t="s">
        <v>198</v>
      </c>
    </row>
    <row r="1975" spans="1:7" x14ac:dyDescent="0.25">
      <c r="A1975" s="34" t="str">
        <f>"PKS6029 CIRCLIP"</f>
        <v>PKS6029 CIRCLIP</v>
      </c>
      <c r="B1975" s="2">
        <v>21</v>
      </c>
      <c r="C1975" s="2">
        <v>9</v>
      </c>
      <c r="D1975" s="11" t="str">
        <f t="shared" si="40"/>
        <v>UN</v>
      </c>
      <c r="E1975" s="12">
        <v>23.14125000000001</v>
      </c>
      <c r="F1975" s="13">
        <v>0</v>
      </c>
      <c r="G1975" s="14" t="s">
        <v>198</v>
      </c>
    </row>
    <row r="1976" spans="1:7" x14ac:dyDescent="0.25">
      <c r="A1976" s="34" t="str">
        <f>"PKS6036 CHAPA MORRO"</f>
        <v>PKS6036 CHAPA MORRO</v>
      </c>
      <c r="B1976" s="2">
        <v>21</v>
      </c>
      <c r="C1976" s="2">
        <v>12</v>
      </c>
      <c r="D1976" s="11" t="str">
        <f t="shared" si="40"/>
        <v>UN</v>
      </c>
      <c r="E1976" s="12">
        <v>161.53500000000003</v>
      </c>
      <c r="F1976" s="13">
        <v>0</v>
      </c>
      <c r="G1976" s="14" t="s">
        <v>198</v>
      </c>
    </row>
    <row r="1977" spans="1:7" x14ac:dyDescent="0.25">
      <c r="A1977" s="34" t="str">
        <f>"PKS6039 TAPA MORR"</f>
        <v>PKS6039 TAPA MORR</v>
      </c>
      <c r="B1977" s="2">
        <v>21</v>
      </c>
      <c r="C1977" s="2">
        <v>2</v>
      </c>
      <c r="D1977" s="11" t="str">
        <f t="shared" si="40"/>
        <v>UN</v>
      </c>
      <c r="E1977" s="12">
        <v>0</v>
      </c>
      <c r="F1977" s="13">
        <v>0</v>
      </c>
      <c r="G1977" s="14" t="s">
        <v>198</v>
      </c>
    </row>
    <row r="1978" spans="1:7" x14ac:dyDescent="0.25">
      <c r="A1978" s="34" t="str">
        <f>"PKS6041 SEGURO"</f>
        <v>PKS6041 SEGURO</v>
      </c>
      <c r="B1978" s="2">
        <v>21</v>
      </c>
      <c r="C1978" s="2">
        <v>5</v>
      </c>
      <c r="D1978" s="11" t="str">
        <f t="shared" si="40"/>
        <v>UN</v>
      </c>
      <c r="E1978" s="12">
        <v>97.693750000000009</v>
      </c>
      <c r="F1978" s="13">
        <v>0</v>
      </c>
      <c r="G1978" s="14" t="s">
        <v>198</v>
      </c>
    </row>
    <row r="1979" spans="1:7" x14ac:dyDescent="0.25">
      <c r="A1979" s="34" t="str">
        <f>"PKS6042 VASTAGO SEG"</f>
        <v>PKS6042 VASTAGO SEG</v>
      </c>
      <c r="B1979" s="2">
        <v>21</v>
      </c>
      <c r="C1979" s="2">
        <v>5</v>
      </c>
      <c r="D1979" s="11" t="str">
        <f t="shared" si="40"/>
        <v>UN</v>
      </c>
      <c r="E1979" s="12">
        <v>28.806250000000006</v>
      </c>
      <c r="F1979" s="13">
        <v>0</v>
      </c>
      <c r="G1979" s="14" t="s">
        <v>198</v>
      </c>
    </row>
    <row r="1980" spans="1:7" x14ac:dyDescent="0.25">
      <c r="A1980" s="34" t="str">
        <f>"PKS6043 CIRCLIP"</f>
        <v>PKS6043 CIRCLIP</v>
      </c>
      <c r="B1980" s="2">
        <v>21</v>
      </c>
      <c r="C1980" s="2">
        <v>10</v>
      </c>
      <c r="D1980" s="11" t="str">
        <f t="shared" si="40"/>
        <v>UN</v>
      </c>
      <c r="E1980" s="12">
        <v>36.987499999999997</v>
      </c>
      <c r="F1980" s="13">
        <v>0</v>
      </c>
      <c r="G1980" s="14" t="s">
        <v>198</v>
      </c>
    </row>
    <row r="1981" spans="1:7" x14ac:dyDescent="0.25">
      <c r="A1981" s="34" t="str">
        <f>"PKS6049 TOPE PISTA"</f>
        <v>PKS6049 TOPE PISTA</v>
      </c>
      <c r="B1981" s="2">
        <v>21</v>
      </c>
      <c r="C1981" s="2">
        <v>4</v>
      </c>
      <c r="D1981" s="11" t="str">
        <f t="shared" si="40"/>
        <v>UN</v>
      </c>
      <c r="E1981" s="12">
        <v>33.385000000000005</v>
      </c>
      <c r="F1981" s="13">
        <v>0</v>
      </c>
      <c r="G1981" s="14" t="s">
        <v>198</v>
      </c>
    </row>
    <row r="1982" spans="1:7" x14ac:dyDescent="0.25">
      <c r="A1982" s="34" t="str">
        <f>"PKS6059 CIERRE PISTA"</f>
        <v>PKS6059 CIERRE PISTA</v>
      </c>
      <c r="B1982" s="2">
        <v>21</v>
      </c>
      <c r="C1982" s="2">
        <v>13</v>
      </c>
      <c r="D1982" s="11" t="str">
        <f t="shared" si="40"/>
        <v>UN</v>
      </c>
      <c r="E1982" s="12">
        <v>198.77000000000004</v>
      </c>
      <c r="F1982" s="13">
        <v>0</v>
      </c>
      <c r="G1982" s="14" t="s">
        <v>198</v>
      </c>
    </row>
    <row r="1983" spans="1:7" x14ac:dyDescent="0.25">
      <c r="A1983" s="34" t="str">
        <f>"PKS6060 TORNILLO"</f>
        <v>PKS6060 TORNILLO</v>
      </c>
      <c r="B1983" s="2">
        <v>21</v>
      </c>
      <c r="C1983" s="2">
        <v>5</v>
      </c>
      <c r="D1983" s="11" t="str">
        <f t="shared" si="40"/>
        <v>UN</v>
      </c>
      <c r="E1983" s="12">
        <v>16.775000000000002</v>
      </c>
      <c r="F1983" s="13">
        <v>0</v>
      </c>
      <c r="G1983" s="14" t="s">
        <v>198</v>
      </c>
    </row>
    <row r="1984" spans="1:7" x14ac:dyDescent="0.25">
      <c r="A1984" s="34" t="str">
        <f>"PLATO MAX HN90"</f>
        <v>PLATO MAX HN90</v>
      </c>
      <c r="B1984" s="2">
        <v>21</v>
      </c>
      <c r="C1984" s="2">
        <v>1</v>
      </c>
      <c r="D1984" s="11" t="str">
        <f t="shared" si="40"/>
        <v>UN</v>
      </c>
      <c r="E1984" s="12">
        <v>16.981249999999999</v>
      </c>
      <c r="F1984" s="13">
        <v>0</v>
      </c>
      <c r="G1984" s="14" t="s">
        <v>198</v>
      </c>
    </row>
    <row r="1985" spans="1:7" x14ac:dyDescent="0.25">
      <c r="A1985" s="34" t="str">
        <f>"POSTIZO SCN50"</f>
        <v>POSTIZO SCN50</v>
      </c>
      <c r="B1985" s="2">
        <v>21</v>
      </c>
      <c r="C1985" s="2">
        <v>4</v>
      </c>
      <c r="D1985" s="11" t="str">
        <f t="shared" si="40"/>
        <v>UN</v>
      </c>
      <c r="E1985" s="12">
        <v>247.28000000000003</v>
      </c>
      <c r="F1985" s="13">
        <v>0</v>
      </c>
      <c r="G1985" s="14" t="s">
        <v>198</v>
      </c>
    </row>
    <row r="1986" spans="1:7" x14ac:dyDescent="0.25">
      <c r="A1986" s="34" t="str">
        <f>"protector"</f>
        <v>protector</v>
      </c>
      <c r="B1986" s="2">
        <v>21</v>
      </c>
      <c r="C1986" s="2">
        <v>2</v>
      </c>
      <c r="D1986" s="11" t="str">
        <f t="shared" si="40"/>
        <v>UN</v>
      </c>
      <c r="E1986" s="12">
        <v>111.73250000000002</v>
      </c>
      <c r="F1986" s="13">
        <v>0</v>
      </c>
      <c r="G1986" s="14" t="s">
        <v>198</v>
      </c>
    </row>
    <row r="1987" spans="1:7" x14ac:dyDescent="0.25">
      <c r="A1987" s="34" t="str">
        <f>"RACOR 20-0315"</f>
        <v>RACOR 20-0315</v>
      </c>
      <c r="B1987" s="2">
        <v>21</v>
      </c>
      <c r="C1987" s="2">
        <v>8</v>
      </c>
      <c r="D1987" s="11" t="str">
        <f t="shared" si="40"/>
        <v>UN</v>
      </c>
      <c r="E1987" s="12">
        <v>91.08</v>
      </c>
      <c r="F1987" s="13">
        <v>0</v>
      </c>
      <c r="G1987" s="14" t="s">
        <v>198</v>
      </c>
    </row>
    <row r="1988" spans="1:7" x14ac:dyDescent="0.25">
      <c r="A1988" s="34" t="str">
        <f>"RACOR ARO 10-0315"</f>
        <v>RACOR ARO 10-0315</v>
      </c>
      <c r="B1988" s="2">
        <v>21</v>
      </c>
      <c r="C1988" s="2">
        <v>2</v>
      </c>
      <c r="D1988" s="11" t="str">
        <f t="shared" si="40"/>
        <v>UN</v>
      </c>
      <c r="E1988" s="12">
        <v>22.000000000000004</v>
      </c>
      <c r="F1988" s="13">
        <v>0</v>
      </c>
      <c r="G1988" s="14" t="s">
        <v>198</v>
      </c>
    </row>
    <row r="1989" spans="1:7" x14ac:dyDescent="0.25">
      <c r="A1989" s="34" t="str">
        <f>"RACORES ARO 20-0305"</f>
        <v>RACORES ARO 20-0305</v>
      </c>
      <c r="B1989" s="2">
        <v>21</v>
      </c>
      <c r="C1989" s="2">
        <v>5</v>
      </c>
      <c r="D1989" s="11" t="str">
        <f t="shared" si="40"/>
        <v>UN</v>
      </c>
      <c r="E1989" s="12">
        <v>47.91875000000001</v>
      </c>
      <c r="F1989" s="13">
        <v>0</v>
      </c>
      <c r="G1989" s="14" t="s">
        <v>198</v>
      </c>
    </row>
    <row r="1990" spans="1:7" x14ac:dyDescent="0.25">
      <c r="A1990" s="34" t="str">
        <f>"RACORES ARO 20-8005"</f>
        <v>RACORES ARO 20-8005</v>
      </c>
      <c r="B1990" s="2">
        <v>21</v>
      </c>
      <c r="C1990" s="2">
        <v>49</v>
      </c>
      <c r="D1990" s="11" t="str">
        <f t="shared" si="40"/>
        <v>UN</v>
      </c>
      <c r="E1990" s="12">
        <v>463.54000000000008</v>
      </c>
      <c r="F1990" s="13">
        <v>0</v>
      </c>
      <c r="G1990" s="14" t="s">
        <v>198</v>
      </c>
    </row>
    <row r="1991" spans="1:7" x14ac:dyDescent="0.25">
      <c r="A1991" s="34" t="str">
        <f>"S0110425100 TORNILLO"</f>
        <v>S0110425100 TORNILLO</v>
      </c>
      <c r="B1991" s="2">
        <v>21</v>
      </c>
      <c r="C1991" s="2">
        <v>23</v>
      </c>
      <c r="D1991" s="11" t="str">
        <f t="shared" si="40"/>
        <v>UN</v>
      </c>
      <c r="E1991" s="12">
        <v>42.693750000000001</v>
      </c>
      <c r="F1991" s="13">
        <v>0</v>
      </c>
      <c r="G1991" s="14" t="s">
        <v>198</v>
      </c>
    </row>
    <row r="1992" spans="1:7" x14ac:dyDescent="0.25">
      <c r="A1992" s="34" t="str">
        <f>"S0110435200=S0110435100 TORN.SA 1,53/50"</f>
        <v>S0110435200=S0110435100 TORN.SA 1,53/50</v>
      </c>
      <c r="B1992" s="2">
        <v>21</v>
      </c>
      <c r="C1992" s="2">
        <v>9</v>
      </c>
      <c r="D1992" s="11" t="str">
        <f t="shared" si="40"/>
        <v>UN</v>
      </c>
      <c r="E1992" s="12">
        <v>16.706250000000001</v>
      </c>
      <c r="F1992" s="13">
        <v>0</v>
      </c>
      <c r="G1992" s="14" t="s">
        <v>198</v>
      </c>
    </row>
    <row r="1993" spans="1:7" x14ac:dyDescent="0.25">
      <c r="A1993" s="34" t="str">
        <f>"S0110516100 TORNILLO"</f>
        <v>S0110516100 TORNILLO</v>
      </c>
      <c r="B1993" s="2">
        <v>21</v>
      </c>
      <c r="C1993" s="2">
        <v>18</v>
      </c>
      <c r="D1993" s="11" t="str">
        <f t="shared" si="40"/>
        <v>UN</v>
      </c>
      <c r="E1993" s="12">
        <v>33.412500000000001</v>
      </c>
      <c r="F1993" s="13">
        <v>0</v>
      </c>
      <c r="G1993" s="14" t="s">
        <v>198</v>
      </c>
    </row>
    <row r="1994" spans="1:7" x14ac:dyDescent="0.25">
      <c r="A1994" s="34" t="str">
        <f>"S0110520100 TORNILLO"</f>
        <v>S0110520100 TORNILLO</v>
      </c>
      <c r="B1994" s="2">
        <v>21</v>
      </c>
      <c r="C1994" s="2">
        <v>25</v>
      </c>
      <c r="D1994" s="11" t="str">
        <f t="shared" ref="D1994:D2057" si="41">"UN"</f>
        <v>UN</v>
      </c>
      <c r="E1994" s="12">
        <v>46.40625</v>
      </c>
      <c r="F1994" s="13">
        <v>0</v>
      </c>
      <c r="G1994" s="14" t="s">
        <v>198</v>
      </c>
    </row>
    <row r="1995" spans="1:7" x14ac:dyDescent="0.25">
      <c r="A1995" s="34" t="str">
        <f>"S05106101000 ARANDELA"</f>
        <v>S05106101000 ARANDELA</v>
      </c>
      <c r="B1995" s="2">
        <v>21</v>
      </c>
      <c r="C1995" s="2">
        <v>10</v>
      </c>
      <c r="D1995" s="11" t="str">
        <f t="shared" si="41"/>
        <v>UN</v>
      </c>
      <c r="E1995" s="12">
        <v>18.5625</v>
      </c>
      <c r="F1995" s="13">
        <v>0</v>
      </c>
      <c r="G1995" s="14" t="s">
        <v>198</v>
      </c>
    </row>
    <row r="1996" spans="1:7" x14ac:dyDescent="0.25">
      <c r="A1996" s="34" t="str">
        <f>"S06A013000 JUNTA"</f>
        <v>S06A013000 JUNTA</v>
      </c>
      <c r="B1996" s="2">
        <v>21</v>
      </c>
      <c r="C1996" s="2">
        <v>11</v>
      </c>
      <c r="D1996" s="11" t="str">
        <f t="shared" si="41"/>
        <v>UN</v>
      </c>
      <c r="E1996" s="12">
        <v>20.418750000000003</v>
      </c>
      <c r="F1996" s="13">
        <v>0</v>
      </c>
      <c r="G1996" s="14" t="s">
        <v>198</v>
      </c>
    </row>
    <row r="1997" spans="1:7" x14ac:dyDescent="0.25">
      <c r="A1997" s="34" t="str">
        <f>"S06A014100 JUNTA"</f>
        <v>S06A014100 JUNTA</v>
      </c>
      <c r="B1997" s="2">
        <v>21</v>
      </c>
      <c r="C1997" s="2">
        <v>5</v>
      </c>
      <c r="D1997" s="11" t="str">
        <f t="shared" si="41"/>
        <v>UN</v>
      </c>
      <c r="E1997" s="12">
        <v>9.4875000000000007</v>
      </c>
      <c r="F1997" s="13">
        <v>0</v>
      </c>
      <c r="G1997" s="14" t="s">
        <v>198</v>
      </c>
    </row>
    <row r="1998" spans="1:7" x14ac:dyDescent="0.25">
      <c r="A1998" s="34" t="str">
        <f>"S06P000800 JUNTA"</f>
        <v>S06P000800 JUNTA</v>
      </c>
      <c r="B1998" s="2">
        <v>21</v>
      </c>
      <c r="C1998" s="2">
        <v>11</v>
      </c>
      <c r="D1998" s="11" t="str">
        <f t="shared" si="41"/>
        <v>UN</v>
      </c>
      <c r="E1998" s="12">
        <v>20.418750000000006</v>
      </c>
      <c r="F1998" s="13">
        <v>0</v>
      </c>
      <c r="G1998" s="14" t="s">
        <v>198</v>
      </c>
    </row>
    <row r="1999" spans="1:7" x14ac:dyDescent="0.25">
      <c r="A1999" s="34" t="str">
        <f>"S06P000900 JUNTA"</f>
        <v>S06P000900 JUNTA</v>
      </c>
      <c r="B1999" s="2">
        <v>21</v>
      </c>
      <c r="C1999" s="2">
        <v>53</v>
      </c>
      <c r="D1999" s="11" t="str">
        <f t="shared" si="41"/>
        <v>UN</v>
      </c>
      <c r="E1999" s="12">
        <v>98.381250000000051</v>
      </c>
      <c r="F1999" s="13">
        <v>0</v>
      </c>
      <c r="G1999" s="14" t="s">
        <v>198</v>
      </c>
    </row>
    <row r="2000" spans="1:7" x14ac:dyDescent="0.25">
      <c r="A2000" s="34" t="str">
        <f>"S06P000900 PLANCHA DE AJUSTE"</f>
        <v>S06P000900 PLANCHA DE AJUSTE</v>
      </c>
      <c r="B2000" s="2">
        <v>21</v>
      </c>
      <c r="C2000" s="2">
        <v>5</v>
      </c>
      <c r="D2000" s="11" t="str">
        <f t="shared" si="41"/>
        <v>UN</v>
      </c>
      <c r="E2000" s="12">
        <v>11.137499999999999</v>
      </c>
      <c r="F2000" s="13">
        <v>0</v>
      </c>
      <c r="G2000" s="14" t="s">
        <v>198</v>
      </c>
    </row>
    <row r="2001" spans="1:7" x14ac:dyDescent="0.25">
      <c r="A2001" s="34" t="str">
        <f>"S06P004200 JUNTA"</f>
        <v>S06P004200 JUNTA</v>
      </c>
      <c r="B2001" s="2">
        <v>21</v>
      </c>
      <c r="C2001" s="2">
        <v>9</v>
      </c>
      <c r="D2001" s="11" t="str">
        <f t="shared" si="41"/>
        <v>UN</v>
      </c>
      <c r="E2001" s="12">
        <v>19.923749999999998</v>
      </c>
      <c r="F2001" s="13">
        <v>0</v>
      </c>
      <c r="G2001" s="14" t="s">
        <v>198</v>
      </c>
    </row>
    <row r="2002" spans="1:7" x14ac:dyDescent="0.25">
      <c r="A2002" s="34" t="str">
        <f>"S06P203800 JUNTA"</f>
        <v>S06P203800 JUNTA</v>
      </c>
      <c r="B2002" s="2">
        <v>21</v>
      </c>
      <c r="C2002" s="2">
        <v>46</v>
      </c>
      <c r="D2002" s="11" t="str">
        <f t="shared" si="41"/>
        <v>UN</v>
      </c>
      <c r="E2002" s="12">
        <v>85.387500000000003</v>
      </c>
      <c r="F2002" s="13">
        <v>0</v>
      </c>
      <c r="G2002" s="14" t="s">
        <v>198</v>
      </c>
    </row>
    <row r="2003" spans="1:7" x14ac:dyDescent="0.25">
      <c r="A2003" s="34" t="str">
        <f>"S06Z000500 JUNTA"</f>
        <v>S06Z000500 JUNTA</v>
      </c>
      <c r="B2003" s="2">
        <v>21</v>
      </c>
      <c r="C2003" s="2">
        <v>12</v>
      </c>
      <c r="D2003" s="11" t="str">
        <f t="shared" si="41"/>
        <v>UN</v>
      </c>
      <c r="E2003" s="12">
        <v>22.275000000000013</v>
      </c>
      <c r="F2003" s="13">
        <v>0</v>
      </c>
      <c r="G2003" s="14" t="s">
        <v>198</v>
      </c>
    </row>
    <row r="2004" spans="1:7" x14ac:dyDescent="0.25">
      <c r="A2004" s="34" t="str">
        <f>"S0803012000 PASADOR MUELLE"</f>
        <v>S0803012000 PASADOR MUELLE</v>
      </c>
      <c r="B2004" s="2">
        <v>21</v>
      </c>
      <c r="C2004" s="2">
        <v>25</v>
      </c>
      <c r="D2004" s="11" t="str">
        <f t="shared" si="41"/>
        <v>UN</v>
      </c>
      <c r="E2004" s="12">
        <v>46.40625</v>
      </c>
      <c r="F2004" s="13">
        <v>0</v>
      </c>
      <c r="G2004" s="14" t="s">
        <v>198</v>
      </c>
    </row>
    <row r="2005" spans="1:7" x14ac:dyDescent="0.25">
      <c r="A2005" s="34" t="str">
        <f>"S0803016000 PASADOR"</f>
        <v>S0803016000 PASADOR</v>
      </c>
      <c r="B2005" s="2">
        <v>21</v>
      </c>
      <c r="C2005" s="2">
        <v>7</v>
      </c>
      <c r="D2005" s="11" t="str">
        <f t="shared" si="41"/>
        <v>UN</v>
      </c>
      <c r="E2005" s="12">
        <v>69.107499999999987</v>
      </c>
      <c r="F2005" s="13">
        <v>0</v>
      </c>
      <c r="G2005" s="14" t="s">
        <v>198</v>
      </c>
    </row>
    <row r="2006" spans="1:7" x14ac:dyDescent="0.25">
      <c r="A2006" s="34" t="str">
        <f>"S0803022000 MUELLE Nº39 SA CN2765"</f>
        <v>S0803022000 MUELLE Nº39 SA CN2765</v>
      </c>
      <c r="B2006" s="2">
        <v>21</v>
      </c>
      <c r="C2006" s="2">
        <v>10</v>
      </c>
      <c r="D2006" s="11" t="str">
        <f t="shared" si="41"/>
        <v>UN</v>
      </c>
      <c r="E2006" s="12">
        <v>18.5625</v>
      </c>
      <c r="F2006" s="13">
        <v>0</v>
      </c>
      <c r="G2006" s="14" t="s">
        <v>198</v>
      </c>
    </row>
    <row r="2007" spans="1:7" x14ac:dyDescent="0.25">
      <c r="A2007" s="34" t="str">
        <f>"SCN 3006412"</f>
        <v>SCN 3006412</v>
      </c>
      <c r="B2007" s="2">
        <v>21</v>
      </c>
      <c r="C2007" s="2">
        <v>8</v>
      </c>
      <c r="D2007" s="11" t="str">
        <f t="shared" si="41"/>
        <v>UN</v>
      </c>
      <c r="E2007" s="12">
        <v>17.71</v>
      </c>
      <c r="F2007" s="13">
        <v>0</v>
      </c>
      <c r="G2007" s="14" t="s">
        <v>198</v>
      </c>
    </row>
    <row r="2008" spans="1:7" x14ac:dyDescent="0.25">
      <c r="A2008" s="34" t="str">
        <f>"SCN 3010208"</f>
        <v>SCN 3010208</v>
      </c>
      <c r="B2008" s="2">
        <v>21</v>
      </c>
      <c r="C2008" s="2">
        <v>5</v>
      </c>
      <c r="D2008" s="11" t="str">
        <f t="shared" si="41"/>
        <v>UN</v>
      </c>
      <c r="E2008" s="12">
        <v>9.28125</v>
      </c>
      <c r="F2008" s="13">
        <v>0</v>
      </c>
      <c r="G2008" s="14" t="s">
        <v>198</v>
      </c>
    </row>
    <row r="2009" spans="1:7" x14ac:dyDescent="0.25">
      <c r="A2009" s="34" t="str">
        <f>"SCN 3011417"</f>
        <v>SCN 3011417</v>
      </c>
      <c r="B2009" s="2">
        <v>21</v>
      </c>
      <c r="C2009" s="2">
        <v>1</v>
      </c>
      <c r="D2009" s="11" t="str">
        <f t="shared" si="41"/>
        <v>UN</v>
      </c>
      <c r="E2009" s="12">
        <v>10.408750000000001</v>
      </c>
      <c r="F2009" s="13">
        <v>0</v>
      </c>
      <c r="G2009" s="14" t="s">
        <v>198</v>
      </c>
    </row>
    <row r="2010" spans="1:7" x14ac:dyDescent="0.25">
      <c r="A2010" s="34" t="str">
        <f>"SCN 3032017"</f>
        <v>SCN 3032017</v>
      </c>
      <c r="B2010" s="2">
        <v>21</v>
      </c>
      <c r="C2010" s="2">
        <v>10</v>
      </c>
      <c r="D2010" s="11" t="str">
        <f t="shared" si="41"/>
        <v>UN</v>
      </c>
      <c r="E2010" s="12">
        <v>18.562500000000004</v>
      </c>
      <c r="F2010" s="13">
        <v>0</v>
      </c>
      <c r="G2010" s="14" t="s">
        <v>198</v>
      </c>
    </row>
    <row r="2011" spans="1:7" x14ac:dyDescent="0.25">
      <c r="A2011" s="34" t="str">
        <f>"SCN 3045520"</f>
        <v>SCN 3045520</v>
      </c>
      <c r="B2011" s="2">
        <v>21</v>
      </c>
      <c r="C2011" s="2">
        <v>2</v>
      </c>
      <c r="D2011" s="11" t="str">
        <f t="shared" si="41"/>
        <v>UN</v>
      </c>
      <c r="E2011" s="12">
        <v>26.785000000000004</v>
      </c>
      <c r="F2011" s="13">
        <v>0</v>
      </c>
      <c r="G2011" s="14" t="s">
        <v>198</v>
      </c>
    </row>
    <row r="2012" spans="1:7" x14ac:dyDescent="0.25">
      <c r="A2012" s="34" t="str">
        <f>"SCN 3050310"</f>
        <v>SCN 3050310</v>
      </c>
      <c r="B2012" s="2">
        <v>21</v>
      </c>
      <c r="C2012" s="2">
        <v>2</v>
      </c>
      <c r="D2012" s="11" t="str">
        <f t="shared" si="41"/>
        <v>UN</v>
      </c>
      <c r="E2012" s="12">
        <v>3.7125000000000008</v>
      </c>
      <c r="F2012" s="13">
        <v>0</v>
      </c>
      <c r="G2012" s="14" t="s">
        <v>198</v>
      </c>
    </row>
    <row r="2013" spans="1:7" x14ac:dyDescent="0.25">
      <c r="A2013" s="34" t="str">
        <f>"SCN 3050580"</f>
        <v>SCN 3050580</v>
      </c>
      <c r="B2013" s="2">
        <v>21</v>
      </c>
      <c r="C2013" s="2">
        <v>10</v>
      </c>
      <c r="D2013" s="11" t="str">
        <f t="shared" si="41"/>
        <v>UN</v>
      </c>
      <c r="E2013" s="12">
        <v>123.20000000000002</v>
      </c>
      <c r="F2013" s="13">
        <v>0</v>
      </c>
      <c r="G2013" s="14" t="s">
        <v>198</v>
      </c>
    </row>
    <row r="2014" spans="1:7" x14ac:dyDescent="0.25">
      <c r="A2014" s="34" t="str">
        <f>"SCN 3050630"</f>
        <v>SCN 3050630</v>
      </c>
      <c r="B2014" s="2">
        <v>21</v>
      </c>
      <c r="C2014" s="2">
        <v>11</v>
      </c>
      <c r="D2014" s="11" t="str">
        <f t="shared" si="41"/>
        <v>UN</v>
      </c>
      <c r="E2014" s="12">
        <v>50.820000000000007</v>
      </c>
      <c r="F2014" s="13">
        <v>0</v>
      </c>
      <c r="G2014" s="14" t="s">
        <v>198</v>
      </c>
    </row>
    <row r="2015" spans="1:7" x14ac:dyDescent="0.25">
      <c r="A2015" s="34" t="str">
        <f>"SCN 3050700"</f>
        <v>SCN 3050700</v>
      </c>
      <c r="B2015" s="2">
        <v>21</v>
      </c>
      <c r="C2015" s="2">
        <v>9</v>
      </c>
      <c r="D2015" s="11" t="str">
        <f t="shared" si="41"/>
        <v>UN</v>
      </c>
      <c r="E2015" s="12">
        <v>51.851250000000007</v>
      </c>
      <c r="F2015" s="13">
        <v>0</v>
      </c>
      <c r="G2015" s="14" t="s">
        <v>198</v>
      </c>
    </row>
    <row r="2016" spans="1:7" x14ac:dyDescent="0.25">
      <c r="A2016" s="34" t="str">
        <f>"SCN 3050790"</f>
        <v>SCN 3050790</v>
      </c>
      <c r="B2016" s="2">
        <v>21</v>
      </c>
      <c r="C2016" s="2">
        <v>2</v>
      </c>
      <c r="D2016" s="11" t="str">
        <f t="shared" si="41"/>
        <v>UN</v>
      </c>
      <c r="E2016" s="12">
        <v>16.692500000000003</v>
      </c>
      <c r="F2016" s="13">
        <v>0</v>
      </c>
      <c r="G2016" s="14" t="s">
        <v>198</v>
      </c>
    </row>
    <row r="2017" spans="1:7" x14ac:dyDescent="0.25">
      <c r="A2017" s="34" t="str">
        <f>"SCN 3050821"</f>
        <v>SCN 3050821</v>
      </c>
      <c r="B2017" s="2">
        <v>21</v>
      </c>
      <c r="C2017" s="2">
        <v>6</v>
      </c>
      <c r="D2017" s="11" t="str">
        <f t="shared" si="41"/>
        <v>UN</v>
      </c>
      <c r="E2017" s="12">
        <v>23.595000000000006</v>
      </c>
      <c r="F2017" s="13">
        <v>0</v>
      </c>
      <c r="G2017" s="14" t="s">
        <v>198</v>
      </c>
    </row>
    <row r="2018" spans="1:7" x14ac:dyDescent="0.25">
      <c r="A2018" s="34" t="str">
        <f>"SCN 3051190"</f>
        <v>SCN 3051190</v>
      </c>
      <c r="B2018" s="2">
        <v>21</v>
      </c>
      <c r="C2018" s="2">
        <v>2</v>
      </c>
      <c r="D2018" s="11" t="str">
        <f t="shared" si="41"/>
        <v>UN</v>
      </c>
      <c r="E2018" s="12">
        <v>17.71</v>
      </c>
      <c r="F2018" s="13">
        <v>0</v>
      </c>
      <c r="G2018" s="14" t="s">
        <v>198</v>
      </c>
    </row>
    <row r="2019" spans="1:7" x14ac:dyDescent="0.25">
      <c r="A2019" s="34" t="str">
        <f>"SCN 3052152"</f>
        <v>SCN 3052152</v>
      </c>
      <c r="B2019" s="2">
        <v>21</v>
      </c>
      <c r="C2019" s="2">
        <v>5</v>
      </c>
      <c r="D2019" s="11" t="str">
        <f t="shared" si="41"/>
        <v>UN</v>
      </c>
      <c r="E2019" s="12">
        <v>55.412500000000016</v>
      </c>
      <c r="F2019" s="13">
        <v>0</v>
      </c>
      <c r="G2019" s="14" t="s">
        <v>198</v>
      </c>
    </row>
    <row r="2020" spans="1:7" x14ac:dyDescent="0.25">
      <c r="A2020" s="34" t="str">
        <f>"SCN 3053050"</f>
        <v>SCN 3053050</v>
      </c>
      <c r="B2020" s="2">
        <v>21</v>
      </c>
      <c r="C2020" s="2">
        <v>6</v>
      </c>
      <c r="D2020" s="11" t="str">
        <f t="shared" si="41"/>
        <v>UN</v>
      </c>
      <c r="E2020" s="12">
        <v>42.982500000000002</v>
      </c>
      <c r="F2020" s="13">
        <v>0</v>
      </c>
      <c r="G2020" s="14" t="s">
        <v>198</v>
      </c>
    </row>
    <row r="2021" spans="1:7" x14ac:dyDescent="0.25">
      <c r="A2021" s="34" t="str">
        <f>"SCN 3090230"</f>
        <v>SCN 3090230</v>
      </c>
      <c r="B2021" s="2">
        <v>21</v>
      </c>
      <c r="C2021" s="2">
        <v>19</v>
      </c>
      <c r="D2021" s="11" t="str">
        <f t="shared" si="41"/>
        <v>UN</v>
      </c>
      <c r="E2021" s="12">
        <v>42.061250000000001</v>
      </c>
      <c r="F2021" s="13">
        <v>0</v>
      </c>
      <c r="G2021" s="14" t="s">
        <v>198</v>
      </c>
    </row>
    <row r="2022" spans="1:7" x14ac:dyDescent="0.25">
      <c r="A2022" s="34" t="str">
        <f>"SCN 3090318"</f>
        <v>SCN 3090318</v>
      </c>
      <c r="B2022" s="2">
        <v>21</v>
      </c>
      <c r="C2022" s="2">
        <v>19</v>
      </c>
      <c r="D2022" s="11" t="str">
        <f t="shared" si="41"/>
        <v>UN</v>
      </c>
      <c r="E2022" s="12">
        <v>42.322500000000005</v>
      </c>
      <c r="F2022" s="13">
        <v>0</v>
      </c>
      <c r="G2022" s="14" t="s">
        <v>198</v>
      </c>
    </row>
    <row r="2023" spans="1:7" x14ac:dyDescent="0.25">
      <c r="A2023" s="34" t="str">
        <f>"SCN 3090331"</f>
        <v>SCN 3090331</v>
      </c>
      <c r="B2023" s="2">
        <v>21</v>
      </c>
      <c r="C2023" s="2">
        <v>17</v>
      </c>
      <c r="D2023" s="11" t="str">
        <f t="shared" si="41"/>
        <v>UN</v>
      </c>
      <c r="E2023" s="12">
        <v>31.556250000000009</v>
      </c>
      <c r="F2023" s="13">
        <v>0</v>
      </c>
      <c r="G2023" s="14" t="s">
        <v>198</v>
      </c>
    </row>
    <row r="2024" spans="1:7" x14ac:dyDescent="0.25">
      <c r="A2024" s="34" t="str">
        <f>"SCN 3090503"</f>
        <v>SCN 3090503</v>
      </c>
      <c r="B2024" s="2">
        <v>21</v>
      </c>
      <c r="C2024" s="2">
        <v>51</v>
      </c>
      <c r="D2024" s="11" t="str">
        <f t="shared" si="41"/>
        <v>UN</v>
      </c>
      <c r="E2024" s="12">
        <v>121.31625000000003</v>
      </c>
      <c r="F2024" s="13">
        <v>0</v>
      </c>
      <c r="G2024" s="14" t="s">
        <v>198</v>
      </c>
    </row>
    <row r="2025" spans="1:7" x14ac:dyDescent="0.25">
      <c r="A2025" s="34" t="str">
        <f>"SCN 3090525"</f>
        <v>SCN 3090525</v>
      </c>
      <c r="B2025" s="2">
        <v>21</v>
      </c>
      <c r="C2025" s="2">
        <v>6</v>
      </c>
      <c r="D2025" s="11" t="str">
        <f t="shared" si="41"/>
        <v>UN</v>
      </c>
      <c r="E2025" s="12">
        <v>23.595000000000006</v>
      </c>
      <c r="F2025" s="13">
        <v>0</v>
      </c>
      <c r="G2025" s="14" t="s">
        <v>198</v>
      </c>
    </row>
    <row r="2026" spans="1:7" x14ac:dyDescent="0.25">
      <c r="A2026" s="34" t="str">
        <f>"SCN 3090566"</f>
        <v>SCN 3090566</v>
      </c>
      <c r="B2026" s="2">
        <v>21</v>
      </c>
      <c r="C2026" s="2">
        <v>21</v>
      </c>
      <c r="D2026" s="11" t="str">
        <f t="shared" si="41"/>
        <v>UN</v>
      </c>
      <c r="E2026" s="12">
        <v>43.890000000000008</v>
      </c>
      <c r="F2026" s="13">
        <v>0</v>
      </c>
      <c r="G2026" s="14" t="s">
        <v>198</v>
      </c>
    </row>
    <row r="2027" spans="1:7" x14ac:dyDescent="0.25">
      <c r="A2027" s="34" t="str">
        <f>"SCN 3090568"</f>
        <v>SCN 3090568</v>
      </c>
      <c r="B2027" s="2">
        <v>21</v>
      </c>
      <c r="C2027" s="2">
        <v>7</v>
      </c>
      <c r="D2027" s="11" t="str">
        <f t="shared" si="41"/>
        <v>UN</v>
      </c>
      <c r="E2027" s="12">
        <v>22.618750000000002</v>
      </c>
      <c r="F2027" s="13">
        <v>0</v>
      </c>
      <c r="G2027" s="14" t="s">
        <v>198</v>
      </c>
    </row>
    <row r="2028" spans="1:7" x14ac:dyDescent="0.25">
      <c r="A2028" s="34" t="str">
        <f>"SCN 3090614"</f>
        <v>SCN 3090614</v>
      </c>
      <c r="B2028" s="2">
        <v>21</v>
      </c>
      <c r="C2028" s="2">
        <v>7</v>
      </c>
      <c r="D2028" s="11" t="str">
        <f t="shared" si="41"/>
        <v>UN</v>
      </c>
      <c r="E2028" s="12">
        <v>14.630000000000003</v>
      </c>
      <c r="F2028" s="13">
        <v>0</v>
      </c>
      <c r="G2028" s="14" t="s">
        <v>198</v>
      </c>
    </row>
    <row r="2029" spans="1:7" x14ac:dyDescent="0.25">
      <c r="A2029" s="34" t="str">
        <f>"SCN 3090621"</f>
        <v>SCN 3090621</v>
      </c>
      <c r="B2029" s="2">
        <v>21</v>
      </c>
      <c r="C2029" s="2">
        <v>17</v>
      </c>
      <c r="D2029" s="11" t="str">
        <f t="shared" si="41"/>
        <v>UN</v>
      </c>
      <c r="E2029" s="12">
        <v>96.305000000000035</v>
      </c>
      <c r="F2029" s="13">
        <v>0</v>
      </c>
      <c r="G2029" s="14" t="s">
        <v>198</v>
      </c>
    </row>
    <row r="2030" spans="1:7" x14ac:dyDescent="0.25">
      <c r="A2030" s="34" t="str">
        <f>"SCN 3091010"</f>
        <v>SCN 3091010</v>
      </c>
      <c r="B2030" s="2">
        <v>21</v>
      </c>
      <c r="C2030" s="2">
        <v>14</v>
      </c>
      <c r="D2030" s="11" t="str">
        <f t="shared" si="41"/>
        <v>UN</v>
      </c>
      <c r="E2030" s="12">
        <v>29.260000000000005</v>
      </c>
      <c r="F2030" s="13">
        <v>0</v>
      </c>
      <c r="G2030" s="14" t="s">
        <v>198</v>
      </c>
    </row>
    <row r="2031" spans="1:7" x14ac:dyDescent="0.25">
      <c r="A2031" s="34" t="str">
        <f>"SCN 3091011"</f>
        <v>SCN 3091011</v>
      </c>
      <c r="B2031" s="2">
        <v>21</v>
      </c>
      <c r="C2031" s="2">
        <v>4</v>
      </c>
      <c r="D2031" s="11" t="str">
        <f t="shared" si="41"/>
        <v>UN</v>
      </c>
      <c r="E2031" s="12">
        <v>7.4250000000000007</v>
      </c>
      <c r="F2031" s="13">
        <v>0</v>
      </c>
      <c r="G2031" s="14" t="s">
        <v>198</v>
      </c>
    </row>
    <row r="2032" spans="1:7" x14ac:dyDescent="0.25">
      <c r="A2032" s="34" t="str">
        <f>"SCN 3091016"</f>
        <v>SCN 3091016</v>
      </c>
      <c r="B2032" s="2">
        <v>21</v>
      </c>
      <c r="C2032" s="2">
        <v>10</v>
      </c>
      <c r="D2032" s="11" t="str">
        <f t="shared" si="41"/>
        <v>UN</v>
      </c>
      <c r="E2032" s="12">
        <v>41.525000000000006</v>
      </c>
      <c r="F2032" s="13">
        <v>0</v>
      </c>
      <c r="G2032" s="14" t="s">
        <v>198</v>
      </c>
    </row>
    <row r="2033" spans="1:7" x14ac:dyDescent="0.25">
      <c r="A2033" s="34" t="str">
        <f>"SCN 3091052"</f>
        <v>SCN 3091052</v>
      </c>
      <c r="B2033" s="2">
        <v>21</v>
      </c>
      <c r="C2033" s="2">
        <v>7</v>
      </c>
      <c r="D2033" s="11" t="str">
        <f t="shared" si="41"/>
        <v>UN</v>
      </c>
      <c r="E2033" s="12">
        <v>0</v>
      </c>
      <c r="F2033" s="13">
        <v>0</v>
      </c>
      <c r="G2033" s="14" t="s">
        <v>198</v>
      </c>
    </row>
    <row r="2034" spans="1:7" x14ac:dyDescent="0.25">
      <c r="A2034" s="34" t="str">
        <f>"SCN 3091058"</f>
        <v>SCN 3091058</v>
      </c>
      <c r="B2034" s="2">
        <v>21</v>
      </c>
      <c r="C2034" s="2">
        <v>6</v>
      </c>
      <c r="D2034" s="11" t="str">
        <f t="shared" si="41"/>
        <v>UN</v>
      </c>
      <c r="E2034" s="12">
        <v>0</v>
      </c>
      <c r="F2034" s="13">
        <v>0</v>
      </c>
      <c r="G2034" s="14" t="s">
        <v>198</v>
      </c>
    </row>
    <row r="2035" spans="1:7" x14ac:dyDescent="0.25">
      <c r="A2035" s="34" t="str">
        <f>"SCN 3091062"</f>
        <v>SCN 3091062</v>
      </c>
      <c r="B2035" s="2">
        <v>21</v>
      </c>
      <c r="C2035" s="2">
        <v>15</v>
      </c>
      <c r="D2035" s="11" t="str">
        <f t="shared" si="41"/>
        <v>UN</v>
      </c>
      <c r="E2035" s="12">
        <v>37.331250000000004</v>
      </c>
      <c r="F2035" s="13">
        <v>0</v>
      </c>
      <c r="G2035" s="14" t="s">
        <v>198</v>
      </c>
    </row>
    <row r="2036" spans="1:7" x14ac:dyDescent="0.25">
      <c r="A2036" s="34" t="str">
        <f>"SCN 3091069"</f>
        <v>SCN 3091069</v>
      </c>
      <c r="B2036" s="2">
        <v>21</v>
      </c>
      <c r="C2036" s="2">
        <v>15</v>
      </c>
      <c r="D2036" s="11" t="str">
        <f t="shared" si="41"/>
        <v>UN</v>
      </c>
      <c r="E2036" s="12">
        <v>72.80625000000002</v>
      </c>
      <c r="F2036" s="13">
        <v>0</v>
      </c>
      <c r="G2036" s="14" t="s">
        <v>198</v>
      </c>
    </row>
    <row r="2037" spans="1:7" x14ac:dyDescent="0.25">
      <c r="A2037" s="34" t="str">
        <f>"SCN 3091076"</f>
        <v>SCN 3091076</v>
      </c>
      <c r="B2037" s="2">
        <v>21</v>
      </c>
      <c r="C2037" s="2">
        <v>19</v>
      </c>
      <c r="D2037" s="11" t="str">
        <f t="shared" si="41"/>
        <v>UN</v>
      </c>
      <c r="E2037" s="12">
        <v>115.47250000000003</v>
      </c>
      <c r="F2037" s="13">
        <v>0</v>
      </c>
      <c r="G2037" s="14" t="s">
        <v>198</v>
      </c>
    </row>
    <row r="2038" spans="1:7" x14ac:dyDescent="0.25">
      <c r="A2038" s="34" t="str">
        <f>"SCN 3091355"</f>
        <v>SCN 3091355</v>
      </c>
      <c r="B2038" s="2">
        <v>21</v>
      </c>
      <c r="C2038" s="2">
        <v>14</v>
      </c>
      <c r="D2038" s="11" t="str">
        <f t="shared" si="41"/>
        <v>UN</v>
      </c>
      <c r="E2038" s="12">
        <v>53.322500000000012</v>
      </c>
      <c r="F2038" s="13">
        <v>0</v>
      </c>
      <c r="G2038" s="14" t="s">
        <v>198</v>
      </c>
    </row>
    <row r="2039" spans="1:7" x14ac:dyDescent="0.25">
      <c r="A2039" s="34" t="str">
        <f>"SCN 3091514"</f>
        <v>SCN 3091514</v>
      </c>
      <c r="B2039" s="2">
        <v>21</v>
      </c>
      <c r="C2039" s="2">
        <v>5</v>
      </c>
      <c r="D2039" s="11" t="str">
        <f t="shared" si="41"/>
        <v>UN</v>
      </c>
      <c r="E2039" s="12">
        <v>10.45</v>
      </c>
      <c r="F2039" s="13">
        <v>0</v>
      </c>
      <c r="G2039" s="14" t="s">
        <v>198</v>
      </c>
    </row>
    <row r="2040" spans="1:7" x14ac:dyDescent="0.25">
      <c r="A2040" s="34" t="str">
        <f>"SCN 3091544"</f>
        <v>SCN 3091544</v>
      </c>
      <c r="B2040" s="2">
        <v>21</v>
      </c>
      <c r="C2040" s="2">
        <v>13</v>
      </c>
      <c r="D2040" s="11" t="str">
        <f t="shared" si="41"/>
        <v>UN</v>
      </c>
      <c r="E2040" s="12">
        <v>64.528750000000016</v>
      </c>
      <c r="F2040" s="13">
        <v>0</v>
      </c>
      <c r="G2040" s="14" t="s">
        <v>198</v>
      </c>
    </row>
    <row r="2041" spans="1:7" x14ac:dyDescent="0.25">
      <c r="A2041" s="34" t="str">
        <f>"SCN 3091553"</f>
        <v>SCN 3091553</v>
      </c>
      <c r="B2041" s="2">
        <v>21</v>
      </c>
      <c r="C2041" s="2">
        <v>24</v>
      </c>
      <c r="D2041" s="11" t="str">
        <f t="shared" si="41"/>
        <v>UN</v>
      </c>
      <c r="E2041" s="12">
        <v>108.24000000000002</v>
      </c>
      <c r="F2041" s="13">
        <v>0</v>
      </c>
      <c r="G2041" s="14" t="s">
        <v>198</v>
      </c>
    </row>
    <row r="2042" spans="1:7" x14ac:dyDescent="0.25">
      <c r="A2042" s="34" t="str">
        <f>"SCN 3091717"</f>
        <v>SCN 3091717</v>
      </c>
      <c r="B2042" s="2">
        <v>21</v>
      </c>
      <c r="C2042" s="2">
        <v>12</v>
      </c>
      <c r="D2042" s="11" t="str">
        <f t="shared" si="41"/>
        <v>UN</v>
      </c>
      <c r="E2042" s="12">
        <v>114.83999999999999</v>
      </c>
      <c r="F2042" s="13">
        <v>0</v>
      </c>
      <c r="G2042" s="14" t="s">
        <v>198</v>
      </c>
    </row>
    <row r="2043" spans="1:7" x14ac:dyDescent="0.25">
      <c r="A2043" s="34" t="str">
        <f>"SCN 3092509"</f>
        <v>SCN 3092509</v>
      </c>
      <c r="B2043" s="2">
        <v>21</v>
      </c>
      <c r="C2043" s="2">
        <v>19</v>
      </c>
      <c r="D2043" s="11" t="str">
        <f t="shared" si="41"/>
        <v>UN</v>
      </c>
      <c r="E2043" s="12">
        <v>61.393750000000004</v>
      </c>
      <c r="F2043" s="13">
        <v>0</v>
      </c>
      <c r="G2043" s="14" t="s">
        <v>198</v>
      </c>
    </row>
    <row r="2044" spans="1:7" x14ac:dyDescent="0.25">
      <c r="A2044" s="34" t="str">
        <f>"SCN 3098190"</f>
        <v>SCN 3098190</v>
      </c>
      <c r="B2044" s="2">
        <v>21</v>
      </c>
      <c r="C2044" s="2">
        <v>5</v>
      </c>
      <c r="D2044" s="11" t="str">
        <f t="shared" si="41"/>
        <v>UN</v>
      </c>
      <c r="E2044" s="12">
        <v>65.106250000000003</v>
      </c>
      <c r="F2044" s="13">
        <v>0</v>
      </c>
      <c r="G2044" s="14" t="s">
        <v>198</v>
      </c>
    </row>
    <row r="2045" spans="1:7" x14ac:dyDescent="0.25">
      <c r="A2045" s="34" t="str">
        <f>"SCN 3099530"</f>
        <v>SCN 3099530</v>
      </c>
      <c r="B2045" s="2">
        <v>21</v>
      </c>
      <c r="C2045" s="2">
        <v>15</v>
      </c>
      <c r="D2045" s="11" t="str">
        <f t="shared" si="41"/>
        <v>UN</v>
      </c>
      <c r="E2045" s="12">
        <v>50.325000000000017</v>
      </c>
      <c r="F2045" s="13">
        <v>0</v>
      </c>
      <c r="G2045" s="14" t="s">
        <v>198</v>
      </c>
    </row>
    <row r="2046" spans="1:7" x14ac:dyDescent="0.25">
      <c r="A2046" s="34" t="str">
        <f>"SCN 3099620"</f>
        <v>SCN 3099620</v>
      </c>
      <c r="B2046" s="2">
        <v>21</v>
      </c>
      <c r="C2046" s="2">
        <v>13</v>
      </c>
      <c r="D2046" s="11" t="str">
        <f t="shared" si="41"/>
        <v>UN</v>
      </c>
      <c r="E2046" s="12">
        <v>135.67124999999999</v>
      </c>
      <c r="F2046" s="13">
        <v>0</v>
      </c>
      <c r="G2046" s="14" t="s">
        <v>198</v>
      </c>
    </row>
    <row r="2047" spans="1:7" x14ac:dyDescent="0.25">
      <c r="A2047" s="34" t="str">
        <f>"SCN 3099670"</f>
        <v>SCN 3099670</v>
      </c>
      <c r="B2047" s="2">
        <v>21</v>
      </c>
      <c r="C2047" s="2">
        <v>5</v>
      </c>
      <c r="D2047" s="11" t="str">
        <f t="shared" si="41"/>
        <v>UN</v>
      </c>
      <c r="E2047" s="12">
        <v>61.600000000000009</v>
      </c>
      <c r="F2047" s="13">
        <v>0</v>
      </c>
      <c r="G2047" s="14" t="s">
        <v>198</v>
      </c>
    </row>
    <row r="2048" spans="1:7" x14ac:dyDescent="0.25">
      <c r="A2048" s="34" t="str">
        <f>"SCN 3099710"</f>
        <v>SCN 3099710</v>
      </c>
      <c r="B2048" s="2">
        <v>21</v>
      </c>
      <c r="C2048" s="2">
        <v>9</v>
      </c>
      <c r="D2048" s="11" t="str">
        <f t="shared" si="41"/>
        <v>UN</v>
      </c>
      <c r="E2048" s="12">
        <v>138.72375000000005</v>
      </c>
      <c r="F2048" s="13">
        <v>0</v>
      </c>
      <c r="G2048" s="14" t="s">
        <v>198</v>
      </c>
    </row>
    <row r="2049" spans="1:7" x14ac:dyDescent="0.25">
      <c r="A2049" s="34" t="str">
        <f>"SCN 3099760"</f>
        <v>SCN 3099760</v>
      </c>
      <c r="B2049" s="2">
        <v>21</v>
      </c>
      <c r="C2049" s="2">
        <v>2</v>
      </c>
      <c r="D2049" s="11" t="str">
        <f t="shared" si="41"/>
        <v>UN</v>
      </c>
      <c r="E2049" s="12">
        <v>16.087500000000002</v>
      </c>
      <c r="F2049" s="13">
        <v>0</v>
      </c>
      <c r="G2049" s="14" t="s">
        <v>198</v>
      </c>
    </row>
    <row r="2050" spans="1:7" x14ac:dyDescent="0.25">
      <c r="A2050" s="34" t="str">
        <f>"SCN 3099971"</f>
        <v>SCN 3099971</v>
      </c>
      <c r="B2050" s="2">
        <v>21</v>
      </c>
      <c r="C2050" s="2">
        <v>6</v>
      </c>
      <c r="D2050" s="11" t="str">
        <f t="shared" si="41"/>
        <v>UN</v>
      </c>
      <c r="E2050" s="12">
        <v>57.997500000000016</v>
      </c>
      <c r="F2050" s="13">
        <v>0</v>
      </c>
      <c r="G2050" s="14" t="s">
        <v>198</v>
      </c>
    </row>
    <row r="2051" spans="1:7" x14ac:dyDescent="0.25">
      <c r="A2051" s="34" t="str">
        <f>"SCN 3397200 leng scn 32"</f>
        <v>SCN 3397200 leng scn 32</v>
      </c>
      <c r="B2051" s="2">
        <v>21</v>
      </c>
      <c r="C2051" s="2">
        <v>22</v>
      </c>
      <c r="D2051" s="11" t="str">
        <f t="shared" si="41"/>
        <v>UN</v>
      </c>
      <c r="E2051" s="12">
        <v>935.93500000000006</v>
      </c>
      <c r="F2051" s="13">
        <v>0</v>
      </c>
      <c r="G2051" s="14" t="s">
        <v>198</v>
      </c>
    </row>
    <row r="2052" spans="1:7" x14ac:dyDescent="0.25">
      <c r="A2052" s="34" t="str">
        <f>"SCN 3620141"</f>
        <v>SCN 3620141</v>
      </c>
      <c r="B2052" s="2">
        <v>21</v>
      </c>
      <c r="C2052" s="2">
        <v>1</v>
      </c>
      <c r="D2052" s="11" t="str">
        <f t="shared" si="41"/>
        <v>UN</v>
      </c>
      <c r="E2052" s="12">
        <v>29.27375</v>
      </c>
      <c r="F2052" s="13">
        <v>0</v>
      </c>
      <c r="G2052" s="14" t="s">
        <v>198</v>
      </c>
    </row>
    <row r="2053" spans="1:7" x14ac:dyDescent="0.25">
      <c r="A2053" s="34" t="str">
        <f>"SCN 3620170 CAMISA SCN75"</f>
        <v>SCN 3620170 CAMISA SCN75</v>
      </c>
      <c r="B2053" s="2">
        <v>21</v>
      </c>
      <c r="C2053" s="2">
        <v>3</v>
      </c>
      <c r="D2053" s="11" t="str">
        <f t="shared" si="41"/>
        <v>UN</v>
      </c>
      <c r="E2053" s="12">
        <v>282.43875000000003</v>
      </c>
      <c r="F2053" s="13">
        <v>0</v>
      </c>
      <c r="G2053" s="14" t="s">
        <v>198</v>
      </c>
    </row>
    <row r="2054" spans="1:7" x14ac:dyDescent="0.25">
      <c r="A2054" s="34" t="str">
        <f>"SCN 3620200"</f>
        <v>SCN 3620200</v>
      </c>
      <c r="B2054" s="2">
        <v>21</v>
      </c>
      <c r="C2054" s="2">
        <v>10</v>
      </c>
      <c r="D2054" s="11" t="str">
        <f t="shared" si="41"/>
        <v>UN</v>
      </c>
      <c r="E2054" s="12">
        <v>503.38750000000005</v>
      </c>
      <c r="F2054" s="13">
        <v>0</v>
      </c>
      <c r="G2054" s="14" t="s">
        <v>198</v>
      </c>
    </row>
    <row r="2055" spans="1:7" x14ac:dyDescent="0.25">
      <c r="A2055" s="34" t="str">
        <f>"SCN 3620322"</f>
        <v>SCN 3620322</v>
      </c>
      <c r="B2055" s="2">
        <v>21</v>
      </c>
      <c r="C2055" s="2">
        <v>1</v>
      </c>
      <c r="D2055" s="11" t="str">
        <f t="shared" si="41"/>
        <v>UN</v>
      </c>
      <c r="E2055" s="12">
        <v>2.97</v>
      </c>
      <c r="F2055" s="13">
        <v>0</v>
      </c>
      <c r="G2055" s="14" t="s">
        <v>198</v>
      </c>
    </row>
    <row r="2056" spans="1:7" x14ac:dyDescent="0.25">
      <c r="A2056" s="34" t="str">
        <f>"SCN 3620340"</f>
        <v>SCN 3620340</v>
      </c>
      <c r="B2056" s="2">
        <v>21</v>
      </c>
      <c r="C2056" s="2">
        <v>4</v>
      </c>
      <c r="D2056" s="11" t="str">
        <f t="shared" si="41"/>
        <v>UN</v>
      </c>
      <c r="E2056" s="12">
        <v>253.05500000000004</v>
      </c>
      <c r="F2056" s="13">
        <v>0</v>
      </c>
      <c r="G2056" s="14" t="s">
        <v>198</v>
      </c>
    </row>
    <row r="2057" spans="1:7" x14ac:dyDescent="0.25">
      <c r="A2057" s="34" t="str">
        <f>"SCN 3620380"</f>
        <v>SCN 3620380</v>
      </c>
      <c r="B2057" s="2">
        <v>21</v>
      </c>
      <c r="C2057" s="2">
        <v>10</v>
      </c>
      <c r="D2057" s="11" t="str">
        <f t="shared" si="41"/>
        <v>UN</v>
      </c>
      <c r="E2057" s="12">
        <v>130.625</v>
      </c>
      <c r="F2057" s="13">
        <v>0</v>
      </c>
      <c r="G2057" s="14" t="s">
        <v>198</v>
      </c>
    </row>
    <row r="2058" spans="1:7" x14ac:dyDescent="0.25">
      <c r="A2058" s="34" t="str">
        <f>"SCN 3620400"</f>
        <v>SCN 3620400</v>
      </c>
      <c r="B2058" s="2">
        <v>21</v>
      </c>
      <c r="C2058" s="2">
        <v>7</v>
      </c>
      <c r="D2058" s="11" t="str">
        <f t="shared" ref="D2058:D2095" si="42">"UN"</f>
        <v>UN</v>
      </c>
      <c r="E2058" s="12">
        <v>85.662500000000009</v>
      </c>
      <c r="F2058" s="13">
        <v>0</v>
      </c>
      <c r="G2058" s="14" t="s">
        <v>198</v>
      </c>
    </row>
    <row r="2059" spans="1:7" x14ac:dyDescent="0.25">
      <c r="A2059" s="34" t="str">
        <f>"SCN 3620450"</f>
        <v>SCN 3620450</v>
      </c>
      <c r="B2059" s="2">
        <v>21</v>
      </c>
      <c r="C2059" s="2">
        <v>2</v>
      </c>
      <c r="D2059" s="11" t="str">
        <f t="shared" si="42"/>
        <v>UN</v>
      </c>
      <c r="E2059" s="12">
        <v>58.712500000000013</v>
      </c>
      <c r="F2059" s="13">
        <v>0</v>
      </c>
      <c r="G2059" s="14" t="s">
        <v>198</v>
      </c>
    </row>
    <row r="2060" spans="1:7" x14ac:dyDescent="0.25">
      <c r="A2060" s="34" t="str">
        <f>"SCN 3621440"</f>
        <v>SCN 3621440</v>
      </c>
      <c r="B2060" s="2">
        <v>21</v>
      </c>
      <c r="C2060" s="2">
        <v>3</v>
      </c>
      <c r="D2060" s="11" t="str">
        <f t="shared" si="42"/>
        <v>UN</v>
      </c>
      <c r="E2060" s="12">
        <v>16.953750000000003</v>
      </c>
      <c r="F2060" s="13">
        <v>0</v>
      </c>
      <c r="G2060" s="14" t="s">
        <v>198</v>
      </c>
    </row>
    <row r="2061" spans="1:7" x14ac:dyDescent="0.25">
      <c r="A2061" s="34" t="str">
        <f>"SCN 3678210"</f>
        <v>SCN 3678210</v>
      </c>
      <c r="B2061" s="2">
        <v>21</v>
      </c>
      <c r="C2061" s="2">
        <v>10</v>
      </c>
      <c r="D2061" s="11" t="str">
        <f t="shared" si="42"/>
        <v>UN</v>
      </c>
      <c r="E2061" s="12">
        <v>572.96250000000009</v>
      </c>
      <c r="F2061" s="13">
        <v>0</v>
      </c>
      <c r="G2061" s="14" t="s">
        <v>198</v>
      </c>
    </row>
    <row r="2062" spans="1:7" x14ac:dyDescent="0.25">
      <c r="A2062" s="34" t="str">
        <f>"SCN 3688470"</f>
        <v>SCN 3688470</v>
      </c>
      <c r="B2062" s="2">
        <v>21</v>
      </c>
      <c r="C2062" s="2">
        <v>4</v>
      </c>
      <c r="D2062" s="11" t="str">
        <f t="shared" si="42"/>
        <v>UN</v>
      </c>
      <c r="E2062" s="12">
        <v>26.509999999999998</v>
      </c>
      <c r="F2062" s="13">
        <v>0</v>
      </c>
      <c r="G2062" s="14" t="s">
        <v>198</v>
      </c>
    </row>
    <row r="2063" spans="1:7" x14ac:dyDescent="0.25">
      <c r="A2063" s="34" t="str">
        <f>"SCN 3775181"</f>
        <v>SCN 3775181</v>
      </c>
      <c r="B2063" s="2">
        <v>21</v>
      </c>
      <c r="C2063" s="2">
        <v>5</v>
      </c>
      <c r="D2063" s="11" t="str">
        <f t="shared" si="42"/>
        <v>UN</v>
      </c>
      <c r="E2063" s="12">
        <v>220.89375000000004</v>
      </c>
      <c r="F2063" s="13">
        <v>0</v>
      </c>
      <c r="G2063" s="14" t="s">
        <v>198</v>
      </c>
    </row>
    <row r="2064" spans="1:7" x14ac:dyDescent="0.25">
      <c r="A2064" s="34" t="str">
        <f>"SCN 3775690"</f>
        <v>SCN 3775690</v>
      </c>
      <c r="B2064" s="2">
        <v>21</v>
      </c>
      <c r="C2064" s="2">
        <v>4</v>
      </c>
      <c r="D2064" s="11" t="str">
        <f t="shared" si="42"/>
        <v>UN</v>
      </c>
      <c r="E2064" s="12">
        <v>302.66500000000008</v>
      </c>
      <c r="F2064" s="13">
        <v>0</v>
      </c>
      <c r="G2064" s="14" t="s">
        <v>198</v>
      </c>
    </row>
    <row r="2065" spans="1:7" x14ac:dyDescent="0.25">
      <c r="A2065" s="34" t="str">
        <f>"SCN 3775930 LENGUETA"</f>
        <v>SCN 3775930 LENGUETA</v>
      </c>
      <c r="B2065" s="2">
        <v>21</v>
      </c>
      <c r="C2065" s="2">
        <v>10</v>
      </c>
      <c r="D2065" s="11" t="str">
        <f t="shared" si="42"/>
        <v>UN</v>
      </c>
      <c r="E2065" s="12">
        <v>506.41249999999991</v>
      </c>
      <c r="F2065" s="13">
        <v>0</v>
      </c>
      <c r="G2065" s="14" t="s">
        <v>198</v>
      </c>
    </row>
    <row r="2066" spans="1:7" x14ac:dyDescent="0.25">
      <c r="A2066" s="34" t="str">
        <f>"SCN 3776410"</f>
        <v>SCN 3776410</v>
      </c>
      <c r="B2066" s="2">
        <v>21</v>
      </c>
      <c r="C2066" s="2">
        <v>1</v>
      </c>
      <c r="D2066" s="11" t="str">
        <f t="shared" si="42"/>
        <v>UN</v>
      </c>
      <c r="E2066" s="12">
        <v>5.5412500000000007</v>
      </c>
      <c r="F2066" s="13">
        <v>0</v>
      </c>
      <c r="G2066" s="14" t="s">
        <v>198</v>
      </c>
    </row>
    <row r="2067" spans="1:7" x14ac:dyDescent="0.25">
      <c r="A2067" s="34" t="str">
        <f>"SCN 3776680"</f>
        <v>SCN 3776680</v>
      </c>
      <c r="B2067" s="2">
        <v>21</v>
      </c>
      <c r="C2067" s="2">
        <v>3</v>
      </c>
      <c r="D2067" s="11" t="str">
        <f t="shared" si="42"/>
        <v>UN</v>
      </c>
      <c r="E2067" s="12">
        <v>87.449999999999989</v>
      </c>
      <c r="F2067" s="13">
        <v>0</v>
      </c>
      <c r="G2067" s="14" t="s">
        <v>198</v>
      </c>
    </row>
    <row r="2068" spans="1:7" x14ac:dyDescent="0.25">
      <c r="A2068" s="34" t="str">
        <f>"SCN 3783320"</f>
        <v>SCN 3783320</v>
      </c>
      <c r="B2068" s="2">
        <v>21</v>
      </c>
      <c r="C2068" s="2">
        <v>2</v>
      </c>
      <c r="D2068" s="11" t="str">
        <f t="shared" si="42"/>
        <v>UN</v>
      </c>
      <c r="E2068" s="12">
        <v>18.727500000000003</v>
      </c>
      <c r="F2068" s="13">
        <v>0</v>
      </c>
      <c r="G2068" s="14" t="s">
        <v>198</v>
      </c>
    </row>
    <row r="2069" spans="1:7" x14ac:dyDescent="0.25">
      <c r="A2069" s="34" t="str">
        <f>"SCN 3783440"</f>
        <v>SCN 3783440</v>
      </c>
      <c r="B2069" s="2">
        <v>21</v>
      </c>
      <c r="C2069" s="2">
        <v>2</v>
      </c>
      <c r="D2069" s="11" t="str">
        <f t="shared" si="42"/>
        <v>UN</v>
      </c>
      <c r="E2069" s="12">
        <v>59.207500000000003</v>
      </c>
      <c r="F2069" s="13">
        <v>0</v>
      </c>
      <c r="G2069" s="14" t="s">
        <v>198</v>
      </c>
    </row>
    <row r="2070" spans="1:7" x14ac:dyDescent="0.25">
      <c r="A2070" s="34" t="str">
        <f>"SCN3091010 = SCN 3091009"</f>
        <v>SCN3091010 = SCN 3091009</v>
      </c>
      <c r="B2070" s="2">
        <v>21</v>
      </c>
      <c r="C2070" s="2">
        <v>8</v>
      </c>
      <c r="D2070" s="11" t="str">
        <f t="shared" si="42"/>
        <v>UN</v>
      </c>
      <c r="E2070" s="12">
        <v>17.82</v>
      </c>
      <c r="F2070" s="13">
        <v>0</v>
      </c>
      <c r="G2070" s="14" t="s">
        <v>198</v>
      </c>
    </row>
    <row r="2071" spans="1:7" x14ac:dyDescent="0.25">
      <c r="A2071" s="34" t="str">
        <f>"SEALING RING Nº19 BÜHNEN HB 700"</f>
        <v>SEALING RING Nº19 BÜHNEN HB 700</v>
      </c>
      <c r="B2071" s="2">
        <v>21</v>
      </c>
      <c r="C2071" s="2">
        <v>5</v>
      </c>
      <c r="D2071" s="11" t="str">
        <f t="shared" si="42"/>
        <v>UN</v>
      </c>
      <c r="E2071" s="12">
        <v>44.756249999999994</v>
      </c>
      <c r="F2071" s="13">
        <v>0</v>
      </c>
      <c r="G2071" s="14" t="s">
        <v>198</v>
      </c>
    </row>
    <row r="2072" spans="1:7" x14ac:dyDescent="0.25">
      <c r="A2072" s="34" t="str">
        <f>"SOPORTE"</f>
        <v>SOPORTE</v>
      </c>
      <c r="B2072" s="2">
        <v>21</v>
      </c>
      <c r="C2072" s="2">
        <v>22</v>
      </c>
      <c r="D2072" s="11" t="str">
        <f t="shared" si="42"/>
        <v>UN</v>
      </c>
      <c r="E2072" s="12">
        <v>124.3275</v>
      </c>
      <c r="F2072" s="13">
        <v>0</v>
      </c>
      <c r="G2072" s="14" t="s">
        <v>198</v>
      </c>
    </row>
    <row r="2073" spans="1:7" x14ac:dyDescent="0.25">
      <c r="A2073" s="34" t="str">
        <f>"SPACER SLEEVE Nº28 BUHNEN TANQUE_HB5010"</f>
        <v>SPACER SLEEVE Nº28 BUHNEN TANQUE_HB5010</v>
      </c>
      <c r="B2073" s="2">
        <v>21</v>
      </c>
      <c r="C2073" s="2">
        <v>3</v>
      </c>
      <c r="D2073" s="11" t="str">
        <f t="shared" si="42"/>
        <v>UN</v>
      </c>
      <c r="E2073" s="12">
        <v>47.932499999999997</v>
      </c>
      <c r="F2073" s="13">
        <v>0</v>
      </c>
      <c r="G2073" s="14" t="s">
        <v>198</v>
      </c>
    </row>
    <row r="2074" spans="1:7" x14ac:dyDescent="0.25">
      <c r="A2074" s="34" t="str">
        <f>"TAPA INFERIOR  BÜHNEN HB 700"</f>
        <v>TAPA INFERIOR  BÜHNEN HB 700</v>
      </c>
      <c r="B2074" s="2">
        <v>21</v>
      </c>
      <c r="C2074" s="2">
        <v>1</v>
      </c>
      <c r="D2074" s="11" t="str">
        <f t="shared" si="42"/>
        <v>UN</v>
      </c>
      <c r="E2074" s="12">
        <v>24.777500000000003</v>
      </c>
      <c r="F2074" s="13">
        <v>0</v>
      </c>
      <c r="G2074" s="14" t="s">
        <v>198</v>
      </c>
    </row>
    <row r="2075" spans="1:7" x14ac:dyDescent="0.25">
      <c r="A2075" s="34" t="str">
        <f>"TAPON DEL DEPOSITO"</f>
        <v>TAPON DEL DEPOSITO</v>
      </c>
      <c r="B2075" s="2">
        <v>21</v>
      </c>
      <c r="C2075" s="2">
        <v>3</v>
      </c>
      <c r="D2075" s="11" t="str">
        <f t="shared" si="42"/>
        <v>UN</v>
      </c>
      <c r="E2075" s="12">
        <v>39.063750000000013</v>
      </c>
      <c r="F2075" s="13">
        <v>0</v>
      </c>
      <c r="G2075" s="14" t="s">
        <v>198</v>
      </c>
    </row>
    <row r="2076" spans="1:7" x14ac:dyDescent="0.25">
      <c r="A2076" s="34" t="str">
        <f>"TIE BOLT Nº4 BÜHNEN HB 700"</f>
        <v>TIE BOLT Nº4 BÜHNEN HB 700</v>
      </c>
      <c r="B2076" s="2">
        <v>21</v>
      </c>
      <c r="C2076" s="2">
        <v>1</v>
      </c>
      <c r="D2076" s="11" t="str">
        <f t="shared" si="42"/>
        <v>UN</v>
      </c>
      <c r="E2076" s="12">
        <v>45.498750000000001</v>
      </c>
      <c r="F2076" s="13">
        <v>0</v>
      </c>
      <c r="G2076" s="14" t="s">
        <v>198</v>
      </c>
    </row>
    <row r="2077" spans="1:7" x14ac:dyDescent="0.25">
      <c r="A2077" s="34" t="str">
        <f>"TOPE SEGURO"</f>
        <v>TOPE SEGURO</v>
      </c>
      <c r="B2077" s="2">
        <v>21</v>
      </c>
      <c r="C2077" s="2">
        <v>7</v>
      </c>
      <c r="D2077" s="11" t="str">
        <f t="shared" si="42"/>
        <v>UN</v>
      </c>
      <c r="E2077" s="12">
        <v>17.1325</v>
      </c>
      <c r="F2077" s="13">
        <v>0</v>
      </c>
      <c r="G2077" s="14" t="s">
        <v>198</v>
      </c>
    </row>
    <row r="2078" spans="1:7" x14ac:dyDescent="0.25">
      <c r="A2078" s="34" t="str">
        <f t="shared" ref="A2078:A2084" si="43">"TORNILLO"</f>
        <v>TORNILLO</v>
      </c>
      <c r="B2078" s="2">
        <v>21</v>
      </c>
      <c r="C2078" s="2">
        <v>13</v>
      </c>
      <c r="D2078" s="11" t="str">
        <f t="shared" si="42"/>
        <v>UN</v>
      </c>
      <c r="E2078" s="12">
        <v>24.131250000000001</v>
      </c>
      <c r="F2078" s="13">
        <v>0</v>
      </c>
      <c r="G2078" s="14" t="s">
        <v>198</v>
      </c>
    </row>
    <row r="2079" spans="1:7" x14ac:dyDescent="0.25">
      <c r="A2079" s="34" t="str">
        <f t="shared" si="43"/>
        <v>TORNILLO</v>
      </c>
      <c r="B2079" s="2">
        <v>21</v>
      </c>
      <c r="C2079" s="2">
        <v>13</v>
      </c>
      <c r="D2079" s="11" t="str">
        <f t="shared" si="42"/>
        <v>UN</v>
      </c>
      <c r="E2079" s="12">
        <v>24.131250000000001</v>
      </c>
      <c r="F2079" s="13">
        <v>0</v>
      </c>
      <c r="G2079" s="14" t="s">
        <v>198</v>
      </c>
    </row>
    <row r="2080" spans="1:7" x14ac:dyDescent="0.25">
      <c r="A2080" s="34" t="str">
        <f t="shared" si="43"/>
        <v>TORNILLO</v>
      </c>
      <c r="B2080" s="2">
        <v>21</v>
      </c>
      <c r="C2080" s="2">
        <v>9</v>
      </c>
      <c r="D2080" s="11" t="str">
        <f t="shared" si="42"/>
        <v>UN</v>
      </c>
      <c r="E2080" s="12">
        <v>16.706250000000001</v>
      </c>
      <c r="F2080" s="13">
        <v>0</v>
      </c>
      <c r="G2080" s="14" t="s">
        <v>198</v>
      </c>
    </row>
    <row r="2081" spans="1:7" x14ac:dyDescent="0.25">
      <c r="A2081" s="34" t="str">
        <f t="shared" si="43"/>
        <v>TORNILLO</v>
      </c>
      <c r="B2081" s="2">
        <v>21</v>
      </c>
      <c r="C2081" s="2">
        <v>20</v>
      </c>
      <c r="D2081" s="11" t="str">
        <f t="shared" si="42"/>
        <v>UN</v>
      </c>
      <c r="E2081" s="12">
        <v>37.125</v>
      </c>
      <c r="F2081" s="13">
        <v>0</v>
      </c>
      <c r="G2081" s="14" t="s">
        <v>198</v>
      </c>
    </row>
    <row r="2082" spans="1:7" x14ac:dyDescent="0.25">
      <c r="A2082" s="34" t="str">
        <f t="shared" si="43"/>
        <v>TORNILLO</v>
      </c>
      <c r="B2082" s="2">
        <v>21</v>
      </c>
      <c r="C2082" s="2">
        <v>18</v>
      </c>
      <c r="D2082" s="11" t="str">
        <f t="shared" si="42"/>
        <v>UN</v>
      </c>
      <c r="E2082" s="12">
        <v>33.412500000000001</v>
      </c>
      <c r="F2082" s="13">
        <v>0</v>
      </c>
      <c r="G2082" s="14" t="s">
        <v>198</v>
      </c>
    </row>
    <row r="2083" spans="1:7" x14ac:dyDescent="0.25">
      <c r="A2083" s="34" t="str">
        <f t="shared" si="43"/>
        <v>TORNILLO</v>
      </c>
      <c r="B2083" s="2">
        <v>21</v>
      </c>
      <c r="C2083" s="2">
        <v>16</v>
      </c>
      <c r="D2083" s="11" t="str">
        <f t="shared" si="42"/>
        <v>UN</v>
      </c>
      <c r="E2083" s="12">
        <v>30.36</v>
      </c>
      <c r="F2083" s="13">
        <v>0</v>
      </c>
      <c r="G2083" s="14" t="s">
        <v>198</v>
      </c>
    </row>
    <row r="2084" spans="1:7" x14ac:dyDescent="0.25">
      <c r="A2084" s="34" t="str">
        <f t="shared" si="43"/>
        <v>TORNILLO</v>
      </c>
      <c r="B2084" s="2">
        <v>21</v>
      </c>
      <c r="C2084" s="2">
        <v>3</v>
      </c>
      <c r="D2084" s="11" t="str">
        <f t="shared" si="42"/>
        <v>UN</v>
      </c>
      <c r="E2084" s="12">
        <v>12.127500000000005</v>
      </c>
      <c r="F2084" s="13">
        <v>0</v>
      </c>
      <c r="G2084" s="14" t="s">
        <v>198</v>
      </c>
    </row>
    <row r="2085" spans="1:7" x14ac:dyDescent="0.25">
      <c r="A2085" s="34" t="str">
        <f>"TORNILLO FIJ.TAMBOR"</f>
        <v>TORNILLO FIJ.TAMBOR</v>
      </c>
      <c r="B2085" s="2">
        <v>21</v>
      </c>
      <c r="C2085" s="2">
        <v>5</v>
      </c>
      <c r="D2085" s="11" t="str">
        <f t="shared" si="42"/>
        <v>UN</v>
      </c>
      <c r="E2085" s="12">
        <v>16.156250000000004</v>
      </c>
      <c r="F2085" s="13">
        <v>0</v>
      </c>
      <c r="G2085" s="14" t="s">
        <v>198</v>
      </c>
    </row>
    <row r="2086" spans="1:7" x14ac:dyDescent="0.25">
      <c r="A2086" s="34" t="str">
        <f>"TORNILLO Nº 69 SA 14/50"</f>
        <v>TORNILLO Nº 69 SA 14/50</v>
      </c>
      <c r="B2086" s="2">
        <v>21</v>
      </c>
      <c r="C2086" s="2">
        <v>35</v>
      </c>
      <c r="D2086" s="11" t="str">
        <f t="shared" si="42"/>
        <v>UN</v>
      </c>
      <c r="E2086" s="12">
        <v>64.968750000000014</v>
      </c>
      <c r="F2086" s="13">
        <v>0</v>
      </c>
      <c r="G2086" s="14" t="s">
        <v>198</v>
      </c>
    </row>
    <row r="2087" spans="1:7" x14ac:dyDescent="0.25">
      <c r="A2087" s="34" t="str">
        <f>"TORNILLOS Nº58 SA 18NC"</f>
        <v>TORNILLOS Nº58 SA 18NC</v>
      </c>
      <c r="B2087" s="2">
        <v>21</v>
      </c>
      <c r="C2087" s="2">
        <v>9</v>
      </c>
      <c r="D2087" s="11" t="str">
        <f t="shared" si="42"/>
        <v>UN</v>
      </c>
      <c r="E2087" s="12">
        <v>16.706250000000001</v>
      </c>
      <c r="F2087" s="13">
        <v>0</v>
      </c>
      <c r="G2087" s="14" t="s">
        <v>198</v>
      </c>
    </row>
    <row r="2088" spans="1:7" x14ac:dyDescent="0.25">
      <c r="A2088" s="34" t="str">
        <f>"TUERCA FIJ.TAMBOR"</f>
        <v>TUERCA FIJ.TAMBOR</v>
      </c>
      <c r="B2088" s="2">
        <v>21</v>
      </c>
      <c r="C2088" s="2">
        <v>7</v>
      </c>
      <c r="D2088" s="11" t="str">
        <f t="shared" si="42"/>
        <v>UN</v>
      </c>
      <c r="E2088" s="12">
        <v>34.746250000000003</v>
      </c>
      <c r="F2088" s="13">
        <v>0</v>
      </c>
      <c r="G2088" s="14" t="s">
        <v>198</v>
      </c>
    </row>
    <row r="2089" spans="1:7" x14ac:dyDescent="0.25">
      <c r="A2089" s="34" t="str">
        <f>"TUERCA SA MG30"</f>
        <v>TUERCA SA MG30</v>
      </c>
      <c r="B2089" s="2">
        <v>21</v>
      </c>
      <c r="C2089" s="2">
        <v>10</v>
      </c>
      <c r="D2089" s="11" t="str">
        <f t="shared" si="42"/>
        <v>UN</v>
      </c>
      <c r="E2089" s="12">
        <v>23.787500000000001</v>
      </c>
      <c r="F2089" s="13">
        <v>0</v>
      </c>
      <c r="G2089" s="14" t="s">
        <v>198</v>
      </c>
    </row>
    <row r="2090" spans="1:7" x14ac:dyDescent="0.25">
      <c r="A2090" s="34" t="str">
        <f>"U/A CIERRE PISTA"</f>
        <v>U/A CIERRE PISTA</v>
      </c>
      <c r="B2090" s="2">
        <v>21</v>
      </c>
      <c r="C2090" s="2">
        <v>8</v>
      </c>
      <c r="D2090" s="11" t="str">
        <f t="shared" si="42"/>
        <v>UN</v>
      </c>
      <c r="E2090" s="12">
        <v>27.720000000000006</v>
      </c>
      <c r="F2090" s="13">
        <v>0</v>
      </c>
      <c r="G2090" s="14" t="s">
        <v>198</v>
      </c>
    </row>
    <row r="2091" spans="1:7" x14ac:dyDescent="0.25">
      <c r="A2091" s="34" t="str">
        <f>"UQ0501 EMPUJADOR SA 92/40"</f>
        <v>UQ0501 EMPUJADOR SA 92/40</v>
      </c>
      <c r="B2091" s="2">
        <v>21</v>
      </c>
      <c r="C2091" s="2">
        <v>9</v>
      </c>
      <c r="D2091" s="11" t="str">
        <f t="shared" si="42"/>
        <v>UN</v>
      </c>
      <c r="E2091" s="12">
        <v>180.42750000000001</v>
      </c>
      <c r="F2091" s="13">
        <v>0</v>
      </c>
      <c r="G2091" s="14" t="s">
        <v>198</v>
      </c>
    </row>
    <row r="2092" spans="1:7" x14ac:dyDescent="0.25">
      <c r="A2092" s="34" t="str">
        <f>"VALVULA"</f>
        <v>VALVULA</v>
      </c>
      <c r="B2092" s="2">
        <v>21</v>
      </c>
      <c r="C2092" s="2">
        <v>1</v>
      </c>
      <c r="D2092" s="11" t="str">
        <f t="shared" si="42"/>
        <v>UN</v>
      </c>
      <c r="E2092" s="12">
        <v>10.078750000000001</v>
      </c>
      <c r="F2092" s="13">
        <v>0</v>
      </c>
      <c r="G2092" s="14" t="s">
        <v>198</v>
      </c>
    </row>
    <row r="2093" spans="1:7" x14ac:dyDescent="0.25">
      <c r="A2093" s="34" t="str">
        <f>"VALVULA"</f>
        <v>VALVULA</v>
      </c>
      <c r="B2093" s="2">
        <v>21</v>
      </c>
      <c r="C2093" s="2">
        <v>10</v>
      </c>
      <c r="D2093" s="11" t="str">
        <f t="shared" si="42"/>
        <v>UN</v>
      </c>
      <c r="E2093" s="12">
        <v>28.187500000000007</v>
      </c>
      <c r="F2093" s="13">
        <v>0</v>
      </c>
      <c r="G2093" s="14" t="s">
        <v>198</v>
      </c>
    </row>
    <row r="2094" spans="1:7" x14ac:dyDescent="0.25">
      <c r="A2094" s="34" t="str">
        <f>"VALVULA DE CIERRE SA MG30"</f>
        <v>VALVULA DE CIERRE SA MG30</v>
      </c>
      <c r="B2094" s="2">
        <v>21</v>
      </c>
      <c r="C2094" s="2">
        <v>4</v>
      </c>
      <c r="D2094" s="11" t="str">
        <f t="shared" si="42"/>
        <v>UN</v>
      </c>
      <c r="E2094" s="12">
        <v>12.925000000000002</v>
      </c>
      <c r="F2094" s="13">
        <v>0</v>
      </c>
      <c r="G2094" s="14" t="s">
        <v>198</v>
      </c>
    </row>
    <row r="2095" spans="1:7" x14ac:dyDescent="0.25">
      <c r="A2095" s="34" t="str">
        <f>"WASHER Nº13 BÜHNEN HB 700"</f>
        <v>WASHER Nº13 BÜHNEN HB 700</v>
      </c>
      <c r="B2095" s="2">
        <v>21</v>
      </c>
      <c r="C2095" s="2">
        <v>1</v>
      </c>
      <c r="D2095" s="11" t="str">
        <f t="shared" si="42"/>
        <v>UN</v>
      </c>
      <c r="E2095" s="12">
        <v>2.3512499999999998</v>
      </c>
      <c r="F2095" s="13">
        <v>0</v>
      </c>
      <c r="G2095" s="14" t="s">
        <v>198</v>
      </c>
    </row>
    <row r="2096" spans="1:7" ht="16.5" thickBot="1" x14ac:dyDescent="0.3">
      <c r="C2096" s="18">
        <f>SUM(C2:C2095)</f>
        <v>202773.88999999998</v>
      </c>
      <c r="E2096" s="17">
        <v>765258.47304742679</v>
      </c>
      <c r="F2096" s="16">
        <v>646463.86102742527</v>
      </c>
    </row>
  </sheetData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BLOQUE 1 VALLS SALKI</vt:lpstr>
      <vt:lpstr>BLOQUE 2 VALLS VARIADO</vt:lpstr>
      <vt:lpstr>BLOQUE ORCOYEN</vt:lpstr>
      <vt:lpstr>'BLOQUE 2 VALLS VARIADO'!Print_Area</vt:lpstr>
      <vt:lpstr>'BLOQUE ORCOYEN'!Print_Area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2020-12-29T21:01:50Z</cp:lastPrinted>
  <dcterms:created xsi:type="dcterms:W3CDTF">2020-12-10T18:47:59Z</dcterms:created>
  <dcterms:modified xsi:type="dcterms:W3CDTF">2021-01-11T20:18:55Z</dcterms:modified>
</cp:coreProperties>
</file>